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Steve\Documents\Mathematics\Combinatorics\Excel Files\"/>
    </mc:Choice>
  </mc:AlternateContent>
  <xr:revisionPtr revIDLastSave="0" documentId="13_ncr:1_{F1CA8192-C6EB-409C-99B1-8476C65DD973}" xr6:coauthVersionLast="47" xr6:coauthVersionMax="47" xr10:uidLastSave="{00000000-0000-0000-0000-000000000000}"/>
  <bookViews>
    <workbookView xWindow="28680" yWindow="-120" windowWidth="29040" windowHeight="17640" xr2:uid="{00000000-000D-0000-FFFF-FFFF00000000}"/>
  </bookViews>
  <sheets>
    <sheet name="Intro" sheetId="71" r:id="rId1"/>
    <sheet name="B2n2" sheetId="2" r:id="rId2"/>
    <sheet name="B2n3" sheetId="20" r:id="rId3"/>
    <sheet name="B2n4" sheetId="19" r:id="rId4"/>
    <sheet name="B2n5" sheetId="34" r:id="rId5"/>
    <sheet name="B2n6" sheetId="63" r:id="rId6"/>
    <sheet name="B3n2" sheetId="67" r:id="rId7"/>
    <sheet name="B3n3" sheetId="3" r:id="rId8"/>
    <sheet name="B3n4" sheetId="12" r:id="rId9"/>
    <sheet name="B4n2" sheetId="44" r:id="rId10"/>
    <sheet name="B4n3" sheetId="21" r:id="rId11"/>
    <sheet name="B5n2" sheetId="68" r:id="rId12"/>
    <sheet name="B2n2 Per" sheetId="74" r:id="rId13"/>
    <sheet name="B3n3 Per" sheetId="73" r:id="rId14"/>
    <sheet name="B4n4 Per" sheetId="72" r:id="rId15"/>
    <sheet name="B5n5 Per" sheetId="11" r:id="rId16"/>
  </sheets>
  <calcPr calcId="181029"/>
</workbook>
</file>

<file path=xl/calcChain.xml><?xml version="1.0" encoding="utf-8"?>
<calcChain xmlns="http://schemas.openxmlformats.org/spreadsheetml/2006/main">
  <c r="G6" i="74" l="1"/>
  <c r="F6" i="74"/>
  <c r="D6" i="74"/>
  <c r="G5" i="74"/>
  <c r="G7" i="74" s="1"/>
  <c r="F5" i="74"/>
  <c r="B3" i="74"/>
  <c r="C6" i="74" s="1"/>
  <c r="P6" i="74" s="1"/>
  <c r="K9" i="2"/>
  <c r="F7" i="74" l="1"/>
  <c r="C5" i="74"/>
  <c r="P5" i="74" s="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6" i="72"/>
  <c r="D7" i="72"/>
  <c r="D8" i="72"/>
  <c r="D9" i="72"/>
  <c r="D10" i="72"/>
  <c r="D11" i="72"/>
  <c r="D12" i="72"/>
  <c r="D13" i="72"/>
  <c r="D14" i="72"/>
  <c r="D15" i="72"/>
  <c r="D16" i="72"/>
  <c r="D17" i="72"/>
  <c r="D18" i="72"/>
  <c r="D19" i="72"/>
  <c r="D20" i="72"/>
  <c r="D21" i="72"/>
  <c r="D22" i="72"/>
  <c r="D23" i="72"/>
  <c r="D24" i="72"/>
  <c r="D25" i="72"/>
  <c r="D26" i="72"/>
  <c r="D27" i="72"/>
  <c r="D28" i="72"/>
  <c r="D6" i="73"/>
  <c r="D7" i="73"/>
  <c r="D8" i="73"/>
  <c r="D9" i="73"/>
  <c r="D10" i="73"/>
  <c r="C6" i="68"/>
  <c r="C7" i="68"/>
  <c r="C8" i="68"/>
  <c r="C9" i="68"/>
  <c r="C10" i="68"/>
  <c r="C11" i="68"/>
  <c r="C12" i="68"/>
  <c r="C13" i="68"/>
  <c r="C14" i="68"/>
  <c r="C15" i="68"/>
  <c r="C16" i="68"/>
  <c r="C17" i="68"/>
  <c r="C18" i="68"/>
  <c r="C19" i="68"/>
  <c r="C20" i="68"/>
  <c r="C21" i="68"/>
  <c r="C22" i="68"/>
  <c r="C23" i="68"/>
  <c r="C24" i="68"/>
  <c r="C25" i="68"/>
  <c r="C26" i="68"/>
  <c r="C27" i="68"/>
  <c r="C28" i="68"/>
  <c r="C29" i="68"/>
  <c r="C7" i="21"/>
  <c r="C8" i="21"/>
  <c r="C9" i="21"/>
  <c r="C10" i="21"/>
  <c r="C11" i="21"/>
  <c r="C1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2" i="21"/>
  <c r="C63" i="21"/>
  <c r="C64" i="21"/>
  <c r="C65" i="21"/>
  <c r="C66" i="21"/>
  <c r="C67" i="21"/>
  <c r="C68" i="21"/>
  <c r="C69" i="21"/>
  <c r="C6" i="44"/>
  <c r="C7" i="44"/>
  <c r="C8" i="44"/>
  <c r="C9" i="44"/>
  <c r="C10" i="44"/>
  <c r="C11" i="44"/>
  <c r="C12" i="44"/>
  <c r="C13" i="44"/>
  <c r="C14" i="44"/>
  <c r="C15" i="44"/>
  <c r="C16" i="44"/>
  <c r="C17" i="44"/>
  <c r="C18" i="44"/>
  <c r="C19" i="44"/>
  <c r="C20" i="44"/>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6" i="3"/>
  <c r="C7" i="3"/>
  <c r="C8" i="3"/>
  <c r="C9" i="3"/>
  <c r="C10" i="3"/>
  <c r="C11" i="3"/>
  <c r="C12" i="3"/>
  <c r="C13" i="3"/>
  <c r="C14" i="3"/>
  <c r="C15" i="3"/>
  <c r="C16" i="3"/>
  <c r="C17" i="3"/>
  <c r="C18" i="3"/>
  <c r="C19" i="3"/>
  <c r="C20" i="3"/>
  <c r="C21" i="3"/>
  <c r="C22" i="3"/>
  <c r="C23" i="3"/>
  <c r="C24" i="3"/>
  <c r="C25" i="3"/>
  <c r="C26" i="3"/>
  <c r="C27" i="3"/>
  <c r="C28" i="3"/>
  <c r="C29" i="3"/>
  <c r="C30" i="3"/>
  <c r="C31" i="3"/>
  <c r="C6" i="67"/>
  <c r="C7" i="67"/>
  <c r="C8" i="67"/>
  <c r="C9" i="67"/>
  <c r="C10" i="67"/>
  <c r="C11" i="67"/>
  <c r="C12" i="67"/>
  <c r="C13" i="67"/>
  <c r="C6" i="63"/>
  <c r="C7" i="63"/>
  <c r="C8" i="63"/>
  <c r="C9" i="63"/>
  <c r="C10" i="63"/>
  <c r="C11" i="63"/>
  <c r="C12" i="63"/>
  <c r="C13" i="63"/>
  <c r="C14" i="63"/>
  <c r="C15" i="63"/>
  <c r="C16" i="63"/>
  <c r="C17" i="63"/>
  <c r="C18" i="63"/>
  <c r="C19" i="63"/>
  <c r="C20" i="63"/>
  <c r="C21" i="63"/>
  <c r="C22" i="63"/>
  <c r="C23" i="63"/>
  <c r="C24" i="63"/>
  <c r="C25" i="63"/>
  <c r="C26" i="63"/>
  <c r="C27" i="63"/>
  <c r="C28" i="63"/>
  <c r="C29" i="63"/>
  <c r="C30" i="63"/>
  <c r="C31" i="63"/>
  <c r="C32" i="63"/>
  <c r="C33" i="63"/>
  <c r="C34" i="63"/>
  <c r="C35" i="63"/>
  <c r="C36" i="63"/>
  <c r="C37" i="63"/>
  <c r="C38" i="63"/>
  <c r="C39" i="63"/>
  <c r="C40" i="63"/>
  <c r="C41" i="63"/>
  <c r="C42" i="63"/>
  <c r="C43" i="63"/>
  <c r="C44" i="63"/>
  <c r="C45" i="63"/>
  <c r="C46" i="63"/>
  <c r="C47" i="63"/>
  <c r="C48" i="63"/>
  <c r="C49" i="63"/>
  <c r="C50" i="63"/>
  <c r="C51" i="63"/>
  <c r="C52" i="63"/>
  <c r="C53" i="63"/>
  <c r="C54" i="63"/>
  <c r="C55" i="63"/>
  <c r="C56" i="63"/>
  <c r="C57" i="63"/>
  <c r="C58" i="63"/>
  <c r="C59" i="63"/>
  <c r="C60" i="63"/>
  <c r="C61" i="63"/>
  <c r="C62" i="63"/>
  <c r="C63" i="63"/>
  <c r="C64" i="63"/>
  <c r="C65" i="63"/>
  <c r="C66" i="63"/>
  <c r="C67" i="63"/>
  <c r="C68" i="63"/>
  <c r="C6" i="34"/>
  <c r="C7" i="34"/>
  <c r="C8" i="34"/>
  <c r="C9" i="34"/>
  <c r="C10" i="34"/>
  <c r="C11" i="34"/>
  <c r="C12" i="34"/>
  <c r="C13" i="34"/>
  <c r="C14" i="34"/>
  <c r="C15" i="34"/>
  <c r="C16" i="34"/>
  <c r="C17" i="34"/>
  <c r="C18" i="34"/>
  <c r="C19" i="34"/>
  <c r="C20" i="34"/>
  <c r="C21" i="34"/>
  <c r="C22" i="34"/>
  <c r="C23" i="34"/>
  <c r="C24" i="34"/>
  <c r="C25" i="34"/>
  <c r="C26" i="34"/>
  <c r="C27" i="34"/>
  <c r="C28" i="34"/>
  <c r="C29" i="34"/>
  <c r="C30" i="34"/>
  <c r="C31" i="34"/>
  <c r="C32" i="34"/>
  <c r="C33" i="34"/>
  <c r="C34" i="34"/>
  <c r="C35" i="34"/>
  <c r="C36" i="34"/>
  <c r="C6" i="19"/>
  <c r="C7" i="19"/>
  <c r="C8" i="19"/>
  <c r="C9" i="19"/>
  <c r="C10" i="19"/>
  <c r="C11" i="19"/>
  <c r="C12" i="19"/>
  <c r="C13" i="19"/>
  <c r="C14" i="19"/>
  <c r="C15" i="19"/>
  <c r="C16" i="19"/>
  <c r="C17" i="19"/>
  <c r="C18" i="19"/>
  <c r="C19" i="19"/>
  <c r="C20" i="19"/>
  <c r="C6" i="20"/>
  <c r="C7" i="20"/>
  <c r="C8" i="20"/>
  <c r="C9" i="20"/>
  <c r="C10" i="20"/>
  <c r="C11" i="20"/>
  <c r="C12" i="20"/>
  <c r="C6" i="2"/>
  <c r="C7" i="2"/>
  <c r="C8" i="2"/>
  <c r="C30" i="68" l="1"/>
  <c r="C21" i="44"/>
  <c r="C86" i="12"/>
  <c r="C32" i="3"/>
  <c r="C14" i="67"/>
  <c r="C37" i="34"/>
  <c r="C21" i="19"/>
  <c r="C9" i="2"/>
  <c r="C69" i="63"/>
  <c r="C70" i="21"/>
  <c r="C13" i="20"/>
  <c r="O6" i="74"/>
  <c r="C6" i="71"/>
  <c r="C7" i="71"/>
  <c r="C8" i="71"/>
  <c r="C9" i="71"/>
  <c r="C10" i="71"/>
  <c r="C11" i="71"/>
  <c r="C12" i="71"/>
  <c r="C13" i="71"/>
  <c r="C14" i="71"/>
  <c r="C15" i="71"/>
  <c r="C16" i="71"/>
  <c r="C17" i="71"/>
  <c r="C18" i="71"/>
  <c r="C19" i="71"/>
  <c r="C20" i="71"/>
  <c r="C21" i="71" l="1"/>
  <c r="G125" i="11"/>
  <c r="H125" i="11"/>
  <c r="I125" i="11"/>
  <c r="J125" i="11"/>
  <c r="F125" i="11"/>
  <c r="H20" i="71"/>
  <c r="G20" i="71"/>
  <c r="F20" i="71"/>
  <c r="E20" i="71"/>
  <c r="H19" i="71"/>
  <c r="G19" i="71"/>
  <c r="F19" i="71"/>
  <c r="E19" i="71"/>
  <c r="H18" i="71"/>
  <c r="G18" i="71"/>
  <c r="F18" i="71"/>
  <c r="E18" i="71"/>
  <c r="H17" i="71"/>
  <c r="G17" i="71"/>
  <c r="F17" i="71"/>
  <c r="E17" i="71"/>
  <c r="H12" i="71"/>
  <c r="G12" i="71"/>
  <c r="F12" i="71"/>
  <c r="E12" i="71"/>
  <c r="H11" i="71"/>
  <c r="G11" i="71"/>
  <c r="F11" i="71"/>
  <c r="E11" i="71"/>
  <c r="H10" i="71"/>
  <c r="G10" i="71"/>
  <c r="F10" i="71"/>
  <c r="E10" i="71"/>
  <c r="H9" i="71"/>
  <c r="G9" i="71"/>
  <c r="F9" i="71"/>
  <c r="E9" i="71"/>
  <c r="H16" i="71"/>
  <c r="G16" i="71"/>
  <c r="F16" i="71"/>
  <c r="E16" i="71"/>
  <c r="H15" i="71"/>
  <c r="G15" i="71"/>
  <c r="F15" i="71"/>
  <c r="E15" i="71"/>
  <c r="H14" i="71"/>
  <c r="G14" i="71"/>
  <c r="F14" i="71"/>
  <c r="E14" i="71"/>
  <c r="H13" i="71"/>
  <c r="G13" i="71"/>
  <c r="F13" i="71"/>
  <c r="E13" i="71"/>
  <c r="H8" i="71"/>
  <c r="G8" i="71"/>
  <c r="F8" i="71"/>
  <c r="E8" i="71"/>
  <c r="H7" i="71"/>
  <c r="G7" i="71"/>
  <c r="F7" i="71"/>
  <c r="E7" i="71"/>
  <c r="H6" i="71"/>
  <c r="G6" i="71"/>
  <c r="F6" i="71"/>
  <c r="E6" i="71"/>
  <c r="H5" i="71"/>
  <c r="G5" i="71"/>
  <c r="F5" i="71"/>
  <c r="E5" i="71"/>
  <c r="B3" i="71"/>
  <c r="B11" i="71" s="1"/>
  <c r="H21" i="71" l="1"/>
  <c r="E21" i="71"/>
  <c r="F21" i="71"/>
  <c r="G21" i="71"/>
  <c r="B12" i="71"/>
  <c r="B13" i="71"/>
  <c r="B14" i="71"/>
  <c r="B15" i="71"/>
  <c r="B16" i="71"/>
  <c r="B17" i="71"/>
  <c r="B18" i="71"/>
  <c r="B19" i="71"/>
  <c r="B20" i="71"/>
  <c r="B5" i="71"/>
  <c r="B6" i="71"/>
  <c r="B7" i="71"/>
  <c r="B8" i="71"/>
  <c r="B9" i="71"/>
  <c r="B10" i="71"/>
  <c r="H10" i="73" l="1"/>
  <c r="G10" i="73"/>
  <c r="F10" i="73"/>
  <c r="H9" i="73"/>
  <c r="G9" i="73"/>
  <c r="F9" i="73"/>
  <c r="H8" i="73"/>
  <c r="G8" i="73"/>
  <c r="F8" i="73"/>
  <c r="H7" i="73"/>
  <c r="G7" i="73"/>
  <c r="F7" i="73"/>
  <c r="H6" i="73"/>
  <c r="G6" i="73"/>
  <c r="F6" i="73"/>
  <c r="H5" i="73"/>
  <c r="G5" i="73"/>
  <c r="F5" i="73"/>
  <c r="B3" i="73"/>
  <c r="I28" i="72"/>
  <c r="H28" i="72"/>
  <c r="G28" i="72"/>
  <c r="F28" i="72"/>
  <c r="I27" i="72"/>
  <c r="H27" i="72"/>
  <c r="G27" i="72"/>
  <c r="F27" i="72"/>
  <c r="I26" i="72"/>
  <c r="H26" i="72"/>
  <c r="G26" i="72"/>
  <c r="F26" i="72"/>
  <c r="I25" i="72"/>
  <c r="H25" i="72"/>
  <c r="G25" i="72"/>
  <c r="F25" i="72"/>
  <c r="I24" i="72"/>
  <c r="H24" i="72"/>
  <c r="G24" i="72"/>
  <c r="F24" i="72"/>
  <c r="I23" i="72"/>
  <c r="H23" i="72"/>
  <c r="G23" i="72"/>
  <c r="F23" i="72"/>
  <c r="I22" i="72"/>
  <c r="H22" i="72"/>
  <c r="G22" i="72"/>
  <c r="F22" i="72"/>
  <c r="I21" i="72"/>
  <c r="H21" i="72"/>
  <c r="G21" i="72"/>
  <c r="F21" i="72"/>
  <c r="I20" i="72"/>
  <c r="H20" i="72"/>
  <c r="G20" i="72"/>
  <c r="F20" i="72"/>
  <c r="I19" i="72"/>
  <c r="H19" i="72"/>
  <c r="G19" i="72"/>
  <c r="F19" i="72"/>
  <c r="I18" i="72"/>
  <c r="H18" i="72"/>
  <c r="G18" i="72"/>
  <c r="F18" i="72"/>
  <c r="I17" i="72"/>
  <c r="H17" i="72"/>
  <c r="G17" i="72"/>
  <c r="F17" i="72"/>
  <c r="I16" i="72"/>
  <c r="H16" i="72"/>
  <c r="G16" i="72"/>
  <c r="F16" i="72"/>
  <c r="I15" i="72"/>
  <c r="H15" i="72"/>
  <c r="G15" i="72"/>
  <c r="F15" i="72"/>
  <c r="I14" i="72"/>
  <c r="H14" i="72"/>
  <c r="G14" i="72"/>
  <c r="F14" i="72"/>
  <c r="I13" i="72"/>
  <c r="H13" i="72"/>
  <c r="G13" i="72"/>
  <c r="F13" i="72"/>
  <c r="I12" i="72"/>
  <c r="H12" i="72"/>
  <c r="G12" i="72"/>
  <c r="F12" i="72"/>
  <c r="I11" i="72"/>
  <c r="H11" i="72"/>
  <c r="G11" i="72"/>
  <c r="F11" i="72"/>
  <c r="I10" i="72"/>
  <c r="H10" i="72"/>
  <c r="G10" i="72"/>
  <c r="F10" i="72"/>
  <c r="I9" i="72"/>
  <c r="H9" i="72"/>
  <c r="G9" i="72"/>
  <c r="F9" i="72"/>
  <c r="I8" i="72"/>
  <c r="H8" i="72"/>
  <c r="G8" i="72"/>
  <c r="F8" i="72"/>
  <c r="I7" i="72"/>
  <c r="H7" i="72"/>
  <c r="G7" i="72"/>
  <c r="F7" i="72"/>
  <c r="I6" i="72"/>
  <c r="H6" i="72"/>
  <c r="G6" i="72"/>
  <c r="F6" i="72"/>
  <c r="I5" i="72"/>
  <c r="H5" i="72"/>
  <c r="G5" i="72"/>
  <c r="F5" i="72"/>
  <c r="M9" i="72"/>
  <c r="B3" i="72"/>
  <c r="F29" i="72" l="1"/>
  <c r="H11" i="73"/>
  <c r="G11" i="73"/>
  <c r="F11" i="73"/>
  <c r="H29" i="72"/>
  <c r="G29" i="72"/>
  <c r="I29" i="72"/>
  <c r="C5" i="73"/>
  <c r="S5" i="73" s="1"/>
  <c r="C6" i="73"/>
  <c r="S6" i="73" s="1"/>
  <c r="C7" i="73"/>
  <c r="S7" i="73" s="1"/>
  <c r="C8" i="73"/>
  <c r="S8" i="73" s="1"/>
  <c r="C9" i="73"/>
  <c r="C10" i="73"/>
  <c r="S10" i="73" s="1"/>
  <c r="C6" i="72"/>
  <c r="AJ5" i="72" s="1"/>
  <c r="C8" i="72"/>
  <c r="AP5" i="72" s="1"/>
  <c r="C7" i="72"/>
  <c r="AC5" i="72" s="1"/>
  <c r="C5" i="72"/>
  <c r="V5" i="72" s="1"/>
  <c r="C28" i="72"/>
  <c r="V12" i="72" s="1"/>
  <c r="C27" i="72"/>
  <c r="AJ8" i="72" s="1"/>
  <c r="C26" i="72"/>
  <c r="AC12" i="72" s="1"/>
  <c r="C25" i="72"/>
  <c r="AP8" i="72" s="1"/>
  <c r="C24" i="72"/>
  <c r="AC11" i="72" s="1"/>
  <c r="C23" i="72"/>
  <c r="V11" i="72" s="1"/>
  <c r="C22" i="72"/>
  <c r="AP7" i="72" s="1"/>
  <c r="C21" i="72"/>
  <c r="V10" i="72" s="1"/>
  <c r="C20" i="72"/>
  <c r="AC10" i="72" s="1"/>
  <c r="C19" i="72"/>
  <c r="V9" i="72" s="1"/>
  <c r="C18" i="72"/>
  <c r="AC9" i="72" s="1"/>
  <c r="C17" i="72"/>
  <c r="AJ7" i="72" s="1"/>
  <c r="C16" i="72"/>
  <c r="AJ6" i="72" s="1"/>
  <c r="C15" i="72"/>
  <c r="AC8" i="72" s="1"/>
  <c r="C14" i="72"/>
  <c r="V8" i="72" s="1"/>
  <c r="C13" i="72"/>
  <c r="AC7" i="72" s="1"/>
  <c r="C12" i="72"/>
  <c r="V7" i="72" s="1"/>
  <c r="C11" i="72"/>
  <c r="AP6" i="72" s="1"/>
  <c r="C10" i="72"/>
  <c r="V6" i="72" s="1"/>
  <c r="C9" i="72"/>
  <c r="AC6" i="72" s="1"/>
  <c r="AB11" i="72" l="1"/>
  <c r="AB7" i="72"/>
  <c r="AB8" i="72"/>
  <c r="U8" i="72"/>
  <c r="AB10" i="72"/>
  <c r="AO6" i="72"/>
  <c r="AI7" i="72"/>
  <c r="U10" i="72"/>
  <c r="AB12" i="72"/>
  <c r="AO8" i="72"/>
  <c r="R6" i="73"/>
  <c r="U11" i="72"/>
  <c r="U6" i="72"/>
  <c r="U9" i="72"/>
  <c r="AI6" i="72"/>
  <c r="AO7" i="72"/>
  <c r="U12" i="72"/>
  <c r="AB9" i="72"/>
  <c r="AB6" i="72"/>
  <c r="U7" i="72"/>
  <c r="AI8" i="72"/>
  <c r="S9" i="73"/>
  <c r="R7" i="73" s="1"/>
  <c r="N8" i="11"/>
  <c r="J10" i="68"/>
  <c r="K10" i="21"/>
  <c r="J10" i="44"/>
  <c r="L12" i="12"/>
  <c r="L9" i="3"/>
  <c r="J10" i="67"/>
  <c r="N12" i="63"/>
  <c r="M9" i="34"/>
  <c r="L11" i="19"/>
  <c r="E5" i="68"/>
  <c r="F5" i="68"/>
  <c r="E6" i="68"/>
  <c r="F6" i="68"/>
  <c r="E7" i="68"/>
  <c r="F7" i="68"/>
  <c r="E8" i="68"/>
  <c r="F8" i="68"/>
  <c r="E9" i="68"/>
  <c r="F9" i="68"/>
  <c r="E10" i="68"/>
  <c r="F10" i="68"/>
  <c r="E11" i="68"/>
  <c r="F11" i="68"/>
  <c r="E12" i="68"/>
  <c r="F12" i="68"/>
  <c r="E13" i="68"/>
  <c r="F13" i="68"/>
  <c r="E14" i="68"/>
  <c r="F14" i="68"/>
  <c r="E15" i="68"/>
  <c r="F15" i="68"/>
  <c r="E16" i="68"/>
  <c r="F16" i="68"/>
  <c r="E17" i="68"/>
  <c r="F17" i="68"/>
  <c r="E18" i="68"/>
  <c r="F18" i="68"/>
  <c r="E19" i="68"/>
  <c r="F19" i="68"/>
  <c r="E20" i="68"/>
  <c r="F20" i="68"/>
  <c r="E21" i="68"/>
  <c r="F21" i="68"/>
  <c r="E22" i="68"/>
  <c r="F22" i="68"/>
  <c r="E23" i="68"/>
  <c r="F23" i="68"/>
  <c r="E24" i="68"/>
  <c r="F24" i="68"/>
  <c r="E25" i="68"/>
  <c r="F25" i="68"/>
  <c r="E26" i="68"/>
  <c r="F26" i="68"/>
  <c r="E27" i="68"/>
  <c r="F27" i="68"/>
  <c r="E28" i="68"/>
  <c r="F28" i="68"/>
  <c r="E29" i="68"/>
  <c r="F29" i="68"/>
  <c r="B3" i="68"/>
  <c r="K9" i="20"/>
  <c r="F13" i="67"/>
  <c r="E13" i="67"/>
  <c r="F12" i="67"/>
  <c r="E12" i="67"/>
  <c r="F11" i="67"/>
  <c r="E11" i="67"/>
  <c r="F10" i="67"/>
  <c r="E10" i="67"/>
  <c r="F9" i="67"/>
  <c r="E9" i="67"/>
  <c r="F8" i="67"/>
  <c r="E8" i="67"/>
  <c r="F7" i="67"/>
  <c r="E7" i="67"/>
  <c r="F6" i="67"/>
  <c r="E6" i="67"/>
  <c r="F5" i="67"/>
  <c r="E5" i="67"/>
  <c r="B3" i="67"/>
  <c r="R9" i="73" l="1"/>
  <c r="R10" i="73"/>
  <c r="R8" i="73"/>
  <c r="E14" i="67"/>
  <c r="F14" i="67"/>
  <c r="E30" i="68"/>
  <c r="F30" i="68"/>
  <c r="B5" i="68"/>
  <c r="B11" i="68"/>
  <c r="B17" i="68"/>
  <c r="B23" i="68"/>
  <c r="B29" i="68"/>
  <c r="B6" i="68"/>
  <c r="AL5" i="68" s="1"/>
  <c r="B12" i="68"/>
  <c r="BE5" i="68" s="1"/>
  <c r="B18" i="68"/>
  <c r="BE7" i="68" s="1"/>
  <c r="B24" i="68"/>
  <c r="AL7" i="68" s="1"/>
  <c r="B7" i="68"/>
  <c r="AR5" i="68" s="1"/>
  <c r="B13" i="68"/>
  <c r="BQ5" i="68" s="1"/>
  <c r="B19" i="68"/>
  <c r="AR7" i="68" s="1"/>
  <c r="B25" i="68"/>
  <c r="B8" i="68"/>
  <c r="AX5" i="68" s="1"/>
  <c r="B14" i="68"/>
  <c r="AX6" i="68" s="1"/>
  <c r="B20" i="68"/>
  <c r="AX7" i="68" s="1"/>
  <c r="B26" i="68"/>
  <c r="AX8" i="68" s="1"/>
  <c r="B9" i="68"/>
  <c r="BK5" i="68" s="1"/>
  <c r="B15" i="68"/>
  <c r="AR6" i="68" s="1"/>
  <c r="B21" i="68"/>
  <c r="BQ6" i="68" s="1"/>
  <c r="B27" i="68"/>
  <c r="AR8" i="68" s="1"/>
  <c r="B10" i="68"/>
  <c r="AL6" i="68" s="1"/>
  <c r="B16" i="68"/>
  <c r="BE6" i="68" s="1"/>
  <c r="B22" i="68"/>
  <c r="BE8" i="68" s="1"/>
  <c r="B28" i="68"/>
  <c r="AL8" i="68" s="1"/>
  <c r="B7" i="67"/>
  <c r="AC5" i="67" s="1"/>
  <c r="B13" i="67"/>
  <c r="B8" i="67"/>
  <c r="W6" i="67" s="1"/>
  <c r="B6" i="67"/>
  <c r="W5" i="67" s="1"/>
  <c r="B9" i="67"/>
  <c r="B10" i="67"/>
  <c r="W7" i="67" s="1"/>
  <c r="B5" i="67"/>
  <c r="B11" i="67"/>
  <c r="AC6" i="67" s="1"/>
  <c r="B12" i="67"/>
  <c r="W8" i="67" s="1"/>
  <c r="BK6" i="68" l="1"/>
  <c r="BP6" i="68"/>
  <c r="AF5" i="68"/>
  <c r="AF6" i="68"/>
  <c r="Q6" i="67"/>
  <c r="Q5" i="67"/>
  <c r="Z6" i="68"/>
  <c r="Z5" i="68"/>
  <c r="AB6" i="67"/>
  <c r="AQ6" i="68"/>
  <c r="BD8" i="68"/>
  <c r="V8" i="67"/>
  <c r="V6" i="67"/>
  <c r="V7" i="67"/>
  <c r="AW7" i="68"/>
  <c r="AK8" i="68"/>
  <c r="AW8" i="68"/>
  <c r="AW6" i="68"/>
  <c r="AQ7" i="68"/>
  <c r="BD6" i="68"/>
  <c r="BD7" i="68"/>
  <c r="AK6" i="68"/>
  <c r="AQ8" i="68"/>
  <c r="AK7" i="68"/>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G68" i="21"/>
  <c r="G69" i="21"/>
  <c r="E5" i="44"/>
  <c r="E6" i="44"/>
  <c r="E7" i="44"/>
  <c r="E8" i="44"/>
  <c r="E9" i="44"/>
  <c r="E10" i="44"/>
  <c r="E11" i="44"/>
  <c r="E12" i="44"/>
  <c r="E13" i="44"/>
  <c r="E14" i="44"/>
  <c r="E15" i="44"/>
  <c r="E16" i="44"/>
  <c r="E17" i="44"/>
  <c r="E18" i="44"/>
  <c r="E19" i="44"/>
  <c r="E20" i="44"/>
  <c r="F5" i="44"/>
  <c r="F6" i="44"/>
  <c r="F7" i="44"/>
  <c r="F8" i="44"/>
  <c r="F9" i="44"/>
  <c r="F10" i="44"/>
  <c r="F11" i="44"/>
  <c r="F12" i="44"/>
  <c r="F13" i="44"/>
  <c r="F14" i="44"/>
  <c r="F15" i="44"/>
  <c r="F16" i="44"/>
  <c r="F17" i="44"/>
  <c r="F18" i="44"/>
  <c r="F19" i="44"/>
  <c r="F20" i="44"/>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E5" i="34"/>
  <c r="E6" i="34"/>
  <c r="E7" i="34"/>
  <c r="E8" i="34"/>
  <c r="E9" i="34"/>
  <c r="E10" i="34"/>
  <c r="E11" i="34"/>
  <c r="E12" i="34"/>
  <c r="E13" i="34"/>
  <c r="E14" i="34"/>
  <c r="E15" i="34"/>
  <c r="E16" i="34"/>
  <c r="E17" i="34"/>
  <c r="E18" i="34"/>
  <c r="E19" i="34"/>
  <c r="E20" i="34"/>
  <c r="E21" i="34"/>
  <c r="E22" i="34"/>
  <c r="E23" i="34"/>
  <c r="E24" i="34"/>
  <c r="E25" i="34"/>
  <c r="E26" i="34"/>
  <c r="E27" i="34"/>
  <c r="E28" i="34"/>
  <c r="E29" i="34"/>
  <c r="E30" i="34"/>
  <c r="E31" i="34"/>
  <c r="E32" i="34"/>
  <c r="E33" i="34"/>
  <c r="E34" i="34"/>
  <c r="E35" i="34"/>
  <c r="E36" i="34"/>
  <c r="F21" i="34"/>
  <c r="G21" i="34"/>
  <c r="H21" i="34"/>
  <c r="I21" i="34"/>
  <c r="F22" i="34"/>
  <c r="G22" i="34"/>
  <c r="H22" i="34"/>
  <c r="I22" i="34"/>
  <c r="F23" i="34"/>
  <c r="G23" i="34"/>
  <c r="H23" i="34"/>
  <c r="I23" i="34"/>
  <c r="F24" i="34"/>
  <c r="G24" i="34"/>
  <c r="H24" i="34"/>
  <c r="I24" i="34"/>
  <c r="F25" i="34"/>
  <c r="G25" i="34"/>
  <c r="H25" i="34"/>
  <c r="I25" i="34"/>
  <c r="F26" i="34"/>
  <c r="G26" i="34"/>
  <c r="H26" i="34"/>
  <c r="I26" i="34"/>
  <c r="F27" i="34"/>
  <c r="G27" i="34"/>
  <c r="H27" i="34"/>
  <c r="I27" i="34"/>
  <c r="F28" i="34"/>
  <c r="G28" i="34"/>
  <c r="H28" i="34"/>
  <c r="I28" i="34"/>
  <c r="F29" i="34"/>
  <c r="G29" i="34"/>
  <c r="H29" i="34"/>
  <c r="I29" i="34"/>
  <c r="F30" i="34"/>
  <c r="G30" i="34"/>
  <c r="H30" i="34"/>
  <c r="I30" i="34"/>
  <c r="F31" i="34"/>
  <c r="G31" i="34"/>
  <c r="H31" i="34"/>
  <c r="I31" i="34"/>
  <c r="F32" i="34"/>
  <c r="G32" i="34"/>
  <c r="H32" i="34"/>
  <c r="I32" i="34"/>
  <c r="F33" i="34"/>
  <c r="G33" i="34"/>
  <c r="H33" i="34"/>
  <c r="I33" i="34"/>
  <c r="F34" i="34"/>
  <c r="G34" i="34"/>
  <c r="H34" i="34"/>
  <c r="I34" i="34"/>
  <c r="F35" i="34"/>
  <c r="G35" i="34"/>
  <c r="H35" i="34"/>
  <c r="I35" i="34"/>
  <c r="F36" i="34"/>
  <c r="G36" i="34"/>
  <c r="H36" i="34"/>
  <c r="I36" i="34"/>
  <c r="H5" i="19"/>
  <c r="H6" i="19"/>
  <c r="H7" i="19"/>
  <c r="H8" i="19"/>
  <c r="H9" i="19"/>
  <c r="H10" i="19"/>
  <c r="H11" i="19"/>
  <c r="H12" i="19"/>
  <c r="H13" i="19"/>
  <c r="H14" i="19"/>
  <c r="H15" i="19"/>
  <c r="H16" i="19"/>
  <c r="H17" i="19"/>
  <c r="H18" i="19"/>
  <c r="H19" i="19"/>
  <c r="H20" i="19"/>
  <c r="G5" i="19"/>
  <c r="G6" i="19"/>
  <c r="G7" i="19"/>
  <c r="G8" i="19"/>
  <c r="G9" i="19"/>
  <c r="G10" i="19"/>
  <c r="G11" i="19"/>
  <c r="G12" i="19"/>
  <c r="G13" i="19"/>
  <c r="G14" i="19"/>
  <c r="G15" i="19"/>
  <c r="G16" i="19"/>
  <c r="G17" i="19"/>
  <c r="G18" i="19"/>
  <c r="G19" i="19"/>
  <c r="G20" i="19"/>
  <c r="F5" i="19"/>
  <c r="F6" i="19"/>
  <c r="F7" i="19"/>
  <c r="F8" i="19"/>
  <c r="F9" i="19"/>
  <c r="F10" i="19"/>
  <c r="F11" i="19"/>
  <c r="F12" i="19"/>
  <c r="F13" i="19"/>
  <c r="F14" i="19"/>
  <c r="F15" i="19"/>
  <c r="F16" i="19"/>
  <c r="F17" i="19"/>
  <c r="F18" i="19"/>
  <c r="F19" i="19"/>
  <c r="F20" i="19"/>
  <c r="BJ6" i="68" l="1"/>
  <c r="Y6" i="68"/>
  <c r="AE6" i="68"/>
  <c r="P6" i="67"/>
  <c r="G70" i="21"/>
  <c r="F70" i="21"/>
  <c r="E70" i="21"/>
  <c r="F21" i="44"/>
  <c r="E21" i="44"/>
  <c r="H86" i="12"/>
  <c r="G86" i="12"/>
  <c r="F86" i="12"/>
  <c r="E86" i="12"/>
  <c r="E37" i="34"/>
  <c r="H21" i="19"/>
  <c r="F21" i="19"/>
  <c r="G21" i="19"/>
  <c r="G5" i="20"/>
  <c r="G6" i="20"/>
  <c r="G7" i="20"/>
  <c r="G8" i="20"/>
  <c r="G9" i="20"/>
  <c r="G10" i="20"/>
  <c r="G11" i="20"/>
  <c r="G12" i="20"/>
  <c r="F5" i="20"/>
  <c r="F6" i="20"/>
  <c r="F7" i="20"/>
  <c r="F8" i="20"/>
  <c r="F9" i="20"/>
  <c r="F10" i="20"/>
  <c r="F11" i="20"/>
  <c r="F12" i="20"/>
  <c r="E5" i="20"/>
  <c r="E6" i="20"/>
  <c r="E7" i="20"/>
  <c r="E8" i="20"/>
  <c r="E9" i="20"/>
  <c r="E10" i="20"/>
  <c r="E11" i="20"/>
  <c r="E12" i="20"/>
  <c r="F5" i="2"/>
  <c r="F6" i="2"/>
  <c r="F7" i="2"/>
  <c r="F8" i="2"/>
  <c r="E5" i="2"/>
  <c r="E6" i="2"/>
  <c r="E7" i="2"/>
  <c r="E8" i="2"/>
  <c r="B3" i="11"/>
  <c r="B3" i="44"/>
  <c r="B3" i="12"/>
  <c r="B3" i="20"/>
  <c r="B3" i="2"/>
  <c r="B4" i="21"/>
  <c r="E9" i="2" l="1"/>
  <c r="F9" i="2"/>
  <c r="B5" i="2"/>
  <c r="R5" i="2" s="1"/>
  <c r="G8" i="2" a="1"/>
  <c r="G8" i="2" s="1"/>
  <c r="G6" i="2" a="1"/>
  <c r="G6" i="2" s="1"/>
  <c r="F13" i="20"/>
  <c r="G13" i="20"/>
  <c r="E13" i="20"/>
  <c r="G7" i="2" a="1"/>
  <c r="G7" i="2" s="1"/>
  <c r="G5" i="2" a="1"/>
  <c r="G5" i="2" s="1"/>
  <c r="B5" i="12"/>
  <c r="B11" i="12"/>
  <c r="B17" i="12"/>
  <c r="B23" i="12"/>
  <c r="B29" i="12"/>
  <c r="B35" i="12"/>
  <c r="AS6" i="12" s="1"/>
  <c r="B41" i="12"/>
  <c r="B47" i="12"/>
  <c r="CS9" i="12" s="1"/>
  <c r="B53" i="12"/>
  <c r="B59" i="12"/>
  <c r="BE9" i="12" s="1"/>
  <c r="B65" i="12"/>
  <c r="CZ6" i="12" s="1"/>
  <c r="B71" i="12"/>
  <c r="B77" i="12"/>
  <c r="B83" i="12"/>
  <c r="BE12" i="12" s="1"/>
  <c r="B12" i="12"/>
  <c r="B24" i="12"/>
  <c r="B42" i="12"/>
  <c r="B60" i="12"/>
  <c r="B8" i="12"/>
  <c r="B14" i="12"/>
  <c r="B20" i="12"/>
  <c r="B26" i="12"/>
  <c r="B32" i="12"/>
  <c r="B38" i="12"/>
  <c r="B44" i="12"/>
  <c r="B50" i="12"/>
  <c r="B56" i="12"/>
  <c r="B62" i="12"/>
  <c r="B68" i="12"/>
  <c r="B74" i="12"/>
  <c r="B80" i="12"/>
  <c r="B19" i="12"/>
  <c r="B43" i="12"/>
  <c r="B61" i="12"/>
  <c r="B67" i="12"/>
  <c r="B85" i="12"/>
  <c r="B9" i="12"/>
  <c r="B15" i="12"/>
  <c r="AS5" i="12" s="1"/>
  <c r="B21" i="12"/>
  <c r="B27" i="12"/>
  <c r="B33" i="12"/>
  <c r="B39" i="12"/>
  <c r="B45" i="12"/>
  <c r="B51" i="12"/>
  <c r="B57" i="12"/>
  <c r="B63" i="12"/>
  <c r="B69" i="12"/>
  <c r="B75" i="12"/>
  <c r="AS8" i="12" s="1"/>
  <c r="B81" i="12"/>
  <c r="B6" i="12"/>
  <c r="AY5" i="12" s="1"/>
  <c r="B30" i="12"/>
  <c r="B48" i="12"/>
  <c r="B72" i="12"/>
  <c r="B13" i="12"/>
  <c r="B25" i="12"/>
  <c r="CZ5" i="12" s="1"/>
  <c r="B37" i="12"/>
  <c r="B55" i="12"/>
  <c r="AS7" i="12" s="1"/>
  <c r="B73" i="12"/>
  <c r="B10" i="12"/>
  <c r="B16" i="12"/>
  <c r="B22" i="12"/>
  <c r="B28" i="12"/>
  <c r="B34" i="12"/>
  <c r="B40" i="12"/>
  <c r="B46" i="12"/>
  <c r="B52" i="12"/>
  <c r="B58" i="12"/>
  <c r="B64" i="12"/>
  <c r="B70" i="12"/>
  <c r="B76" i="12"/>
  <c r="B82" i="12"/>
  <c r="B18" i="12"/>
  <c r="B36" i="12"/>
  <c r="B54" i="12"/>
  <c r="B66" i="12"/>
  <c r="B78" i="12"/>
  <c r="B84" i="12"/>
  <c r="AY12" i="12" s="1"/>
  <c r="B7" i="12"/>
  <c r="BE5" i="12" s="1"/>
  <c r="B31" i="12"/>
  <c r="B49" i="12"/>
  <c r="B79" i="12"/>
  <c r="B6" i="20"/>
  <c r="X5" i="20" s="1"/>
  <c r="B12" i="20"/>
  <c r="B7" i="20"/>
  <c r="B8" i="20"/>
  <c r="B9" i="20"/>
  <c r="B10" i="20"/>
  <c r="X9" i="20" s="1"/>
  <c r="B5" i="20"/>
  <c r="B11" i="20"/>
  <c r="X10" i="20" s="1"/>
  <c r="C9" i="11"/>
  <c r="C15" i="11"/>
  <c r="C21" i="11"/>
  <c r="C27" i="11"/>
  <c r="C33" i="11"/>
  <c r="C39" i="11"/>
  <c r="C45" i="11"/>
  <c r="C51" i="11"/>
  <c r="C57" i="11"/>
  <c r="C63" i="11"/>
  <c r="C69" i="11"/>
  <c r="C75" i="11"/>
  <c r="C81" i="11"/>
  <c r="C87" i="11"/>
  <c r="CQ12" i="11" s="1"/>
  <c r="C93" i="11"/>
  <c r="BO12" i="11" s="1"/>
  <c r="C99" i="11"/>
  <c r="C105" i="11"/>
  <c r="C111" i="11"/>
  <c r="C117" i="11"/>
  <c r="C123" i="11"/>
  <c r="C10" i="11"/>
  <c r="C16" i="11"/>
  <c r="BV6" i="11" s="1"/>
  <c r="C22" i="11"/>
  <c r="CX6" i="11" s="1"/>
  <c r="C28" i="11"/>
  <c r="C34" i="11"/>
  <c r="C40" i="11"/>
  <c r="BH7" i="11" s="1"/>
  <c r="C46" i="11"/>
  <c r="BV8" i="11" s="1"/>
  <c r="C52" i="11"/>
  <c r="C58" i="11"/>
  <c r="C64" i="11"/>
  <c r="C70" i="11"/>
  <c r="C76" i="11"/>
  <c r="C82" i="11"/>
  <c r="CQ11" i="11" s="1"/>
  <c r="C88" i="11"/>
  <c r="C94" i="11"/>
  <c r="C100" i="11"/>
  <c r="C106" i="11"/>
  <c r="C112" i="11"/>
  <c r="C118" i="11"/>
  <c r="C124" i="11"/>
  <c r="C7" i="11"/>
  <c r="C13" i="11"/>
  <c r="C19" i="11"/>
  <c r="C25" i="11"/>
  <c r="C31" i="11"/>
  <c r="DZ7" i="11" s="1"/>
  <c r="C37" i="11"/>
  <c r="C43" i="11"/>
  <c r="DL8" i="11" s="1"/>
  <c r="C49" i="11"/>
  <c r="C55" i="11"/>
  <c r="C61" i="11"/>
  <c r="CQ9" i="11" s="1"/>
  <c r="C67" i="11"/>
  <c r="C73" i="11"/>
  <c r="C79" i="11"/>
  <c r="CC12" i="11" s="1"/>
  <c r="C85" i="11"/>
  <c r="C91" i="11"/>
  <c r="C97" i="11"/>
  <c r="C103" i="11"/>
  <c r="CJ13" i="11" s="1"/>
  <c r="C109" i="11"/>
  <c r="C115" i="11"/>
  <c r="C121" i="11"/>
  <c r="C12" i="11"/>
  <c r="C24" i="11"/>
  <c r="DL6" i="11" s="1"/>
  <c r="C36" i="11"/>
  <c r="BO7" i="11" s="1"/>
  <c r="C48" i="11"/>
  <c r="C60" i="11"/>
  <c r="C72" i="11"/>
  <c r="DL10" i="11" s="1"/>
  <c r="C84" i="11"/>
  <c r="CJ11" i="11" s="1"/>
  <c r="C96" i="11"/>
  <c r="C108" i="11"/>
  <c r="C120" i="11"/>
  <c r="C14" i="11"/>
  <c r="CX5" i="11" s="1"/>
  <c r="C26" i="11"/>
  <c r="CJ6" i="11" s="1"/>
  <c r="C38" i="11"/>
  <c r="C50" i="11"/>
  <c r="C62" i="11"/>
  <c r="CJ9" i="11" s="1"/>
  <c r="C74" i="11"/>
  <c r="C86" i="11"/>
  <c r="C98" i="11"/>
  <c r="C110" i="11"/>
  <c r="DS14" i="11" s="1"/>
  <c r="C122" i="11"/>
  <c r="C5" i="11"/>
  <c r="C17" i="11"/>
  <c r="DL5" i="11" s="1"/>
  <c r="C6" i="11"/>
  <c r="C8" i="11"/>
  <c r="BV5" i="11" s="1"/>
  <c r="C20" i="11"/>
  <c r="C32" i="11"/>
  <c r="C44" i="11"/>
  <c r="BO8" i="11" s="1"/>
  <c r="C56" i="11"/>
  <c r="DZ9" i="11" s="1"/>
  <c r="C68" i="11"/>
  <c r="CQ10" i="11" s="1"/>
  <c r="C80" i="11"/>
  <c r="C92" i="11"/>
  <c r="C104" i="11"/>
  <c r="C116" i="11"/>
  <c r="CQ14" i="11" s="1"/>
  <c r="C23" i="11"/>
  <c r="DS6" i="11" s="1"/>
  <c r="C47" i="11"/>
  <c r="C71" i="11"/>
  <c r="C95" i="11"/>
  <c r="C119" i="11"/>
  <c r="BH13" i="11" s="1"/>
  <c r="C29" i="11"/>
  <c r="CX7" i="11" s="1"/>
  <c r="C53" i="11"/>
  <c r="BV9" i="11" s="1"/>
  <c r="C77" i="11"/>
  <c r="C101" i="11"/>
  <c r="C41" i="11"/>
  <c r="C78" i="11"/>
  <c r="C113" i="11"/>
  <c r="BV13" i="11" s="1"/>
  <c r="C42" i="11"/>
  <c r="CQ7" i="11" s="1"/>
  <c r="C83" i="11"/>
  <c r="C114" i="11"/>
  <c r="C35" i="11"/>
  <c r="DZ8" i="11" s="1"/>
  <c r="C66" i="11"/>
  <c r="C107" i="11"/>
  <c r="CX13" i="11" s="1"/>
  <c r="C59" i="11"/>
  <c r="C65" i="11"/>
  <c r="CC10" i="11" s="1"/>
  <c r="C11" i="11"/>
  <c r="C89" i="11"/>
  <c r="C18" i="11"/>
  <c r="DE6" i="11" s="1"/>
  <c r="C90" i="11"/>
  <c r="DL12" i="11" s="1"/>
  <c r="C30" i="11"/>
  <c r="C102" i="11"/>
  <c r="C54" i="11"/>
  <c r="BH9" i="11" s="1"/>
  <c r="B6" i="21"/>
  <c r="B12" i="21"/>
  <c r="B18" i="21"/>
  <c r="B24" i="21"/>
  <c r="B30" i="21"/>
  <c r="B36" i="21"/>
  <c r="B42" i="21"/>
  <c r="B48" i="21"/>
  <c r="B54" i="21"/>
  <c r="B60" i="21"/>
  <c r="B66" i="21"/>
  <c r="B19" i="21"/>
  <c r="B31" i="21"/>
  <c r="B43" i="21"/>
  <c r="B55" i="21"/>
  <c r="B67" i="21"/>
  <c r="B69" i="21"/>
  <c r="B35" i="21"/>
  <c r="B7" i="21"/>
  <c r="B13" i="21"/>
  <c r="B25" i="21"/>
  <c r="B37" i="21"/>
  <c r="B49" i="21"/>
  <c r="B61" i="21"/>
  <c r="B63" i="21"/>
  <c r="B17" i="21"/>
  <c r="B8" i="21"/>
  <c r="B14" i="21"/>
  <c r="B20" i="21"/>
  <c r="B26" i="21"/>
  <c r="B32" i="21"/>
  <c r="B38" i="21"/>
  <c r="B44" i="21"/>
  <c r="B50" i="21"/>
  <c r="B56" i="21"/>
  <c r="B62" i="21"/>
  <c r="B68" i="21"/>
  <c r="B41" i="21"/>
  <c r="B9" i="21"/>
  <c r="B15" i="21"/>
  <c r="B21" i="21"/>
  <c r="B27" i="21"/>
  <c r="B33" i="21"/>
  <c r="B39" i="21"/>
  <c r="B45" i="21"/>
  <c r="B51" i="21"/>
  <c r="B57" i="21"/>
  <c r="B29" i="21"/>
  <c r="B10" i="21"/>
  <c r="B16" i="21"/>
  <c r="B22" i="21"/>
  <c r="B28" i="21"/>
  <c r="B34" i="21"/>
  <c r="B40" i="21"/>
  <c r="B46" i="21"/>
  <c r="B52" i="21"/>
  <c r="B58" i="21"/>
  <c r="B64" i="21"/>
  <c r="B11" i="21"/>
  <c r="B23" i="21"/>
  <c r="B47" i="21"/>
  <c r="B53" i="21"/>
  <c r="B59" i="21"/>
  <c r="B65" i="21"/>
  <c r="B5" i="44"/>
  <c r="B11" i="44"/>
  <c r="AX5" i="44" s="1"/>
  <c r="B17" i="44"/>
  <c r="AR6" i="44" s="1"/>
  <c r="B6" i="44"/>
  <c r="AE5" i="44" s="1"/>
  <c r="B12" i="44"/>
  <c r="AK6" i="44" s="1"/>
  <c r="B18" i="44"/>
  <c r="AK8" i="44" s="1"/>
  <c r="B7" i="44"/>
  <c r="AK5" i="44" s="1"/>
  <c r="B13" i="44"/>
  <c r="AK7" i="44" s="1"/>
  <c r="B19" i="44"/>
  <c r="AE8" i="44" s="1"/>
  <c r="B10" i="44"/>
  <c r="B8" i="44"/>
  <c r="AR5" i="44" s="1"/>
  <c r="B14" i="44"/>
  <c r="AX6" i="44" s="1"/>
  <c r="B20" i="44"/>
  <c r="B9" i="44"/>
  <c r="AE6" i="44" s="1"/>
  <c r="B15" i="44"/>
  <c r="B16" i="44"/>
  <c r="AE7" i="44" s="1"/>
  <c r="B6" i="2"/>
  <c r="X5" i="2" s="1"/>
  <c r="B7" i="2"/>
  <c r="X6" i="2" s="1"/>
  <c r="B8" i="2"/>
  <c r="R6" i="2" s="1"/>
  <c r="B3" i="3"/>
  <c r="BQ6" i="21" l="1"/>
  <c r="DM10" i="21"/>
  <c r="BQ7" i="21"/>
  <c r="BX10" i="21"/>
  <c r="DM7" i="21"/>
  <c r="DM11" i="21"/>
  <c r="DL11" i="21" s="1"/>
  <c r="BD7" i="21"/>
  <c r="CY9" i="21"/>
  <c r="CX9" i="21" s="1"/>
  <c r="BJ10" i="21"/>
  <c r="CY8" i="21"/>
  <c r="BQ8" i="21"/>
  <c r="CR8" i="21"/>
  <c r="BX7" i="21"/>
  <c r="BQ10" i="21"/>
  <c r="BD10" i="21"/>
  <c r="BJ7" i="21"/>
  <c r="BJ8" i="21"/>
  <c r="CD6" i="21"/>
  <c r="DF11" i="21"/>
  <c r="BJ6" i="21"/>
  <c r="CY11" i="21"/>
  <c r="CK9" i="21"/>
  <c r="CD10" i="21"/>
  <c r="BD9" i="21"/>
  <c r="CY6" i="21"/>
  <c r="CD9" i="21"/>
  <c r="DM9" i="21"/>
  <c r="DL10" i="21" s="1"/>
  <c r="BD8" i="21"/>
  <c r="DF8" i="21"/>
  <c r="DF6" i="21"/>
  <c r="BX6" i="21"/>
  <c r="CK8" i="21"/>
  <c r="BX11" i="21"/>
  <c r="CR10" i="21"/>
  <c r="CR6" i="21"/>
  <c r="CK7" i="21"/>
  <c r="BX9" i="21"/>
  <c r="BW10" i="21" s="1"/>
  <c r="CD7" i="21"/>
  <c r="DM6" i="21"/>
  <c r="DL7" i="21" s="1"/>
  <c r="DF9" i="21"/>
  <c r="BJ11" i="21"/>
  <c r="CR11" i="21"/>
  <c r="CR7" i="21"/>
  <c r="CK10" i="21"/>
  <c r="BQ9" i="21"/>
  <c r="CK6" i="21"/>
  <c r="DM8" i="21"/>
  <c r="BD6" i="21"/>
  <c r="BC7" i="21" s="1"/>
  <c r="CR9" i="21"/>
  <c r="CQ9" i="21" s="1"/>
  <c r="BJ9" i="21"/>
  <c r="CY10" i="21"/>
  <c r="BD11" i="21"/>
  <c r="BC11" i="21" s="1"/>
  <c r="CD11" i="21"/>
  <c r="CC11" i="21" s="1"/>
  <c r="CY7" i="21"/>
  <c r="CK11" i="21"/>
  <c r="BX8" i="21"/>
  <c r="DF7" i="21"/>
  <c r="CD8" i="21"/>
  <c r="DF10" i="21"/>
  <c r="BQ11" i="21"/>
  <c r="AR8" i="12"/>
  <c r="CY6" i="12"/>
  <c r="AR7" i="12"/>
  <c r="AR6" i="12"/>
  <c r="W6" i="2"/>
  <c r="Q6" i="2"/>
  <c r="AX7" i="21"/>
  <c r="AR7" i="21"/>
  <c r="AR6" i="21"/>
  <c r="AX6" i="21"/>
  <c r="S6" i="44"/>
  <c r="S5" i="44"/>
  <c r="Y6" i="44"/>
  <c r="Y5" i="44"/>
  <c r="AM6" i="12"/>
  <c r="AM5" i="12"/>
  <c r="R5" i="20"/>
  <c r="R6" i="20"/>
  <c r="X8" i="20"/>
  <c r="X7" i="20"/>
  <c r="X6" i="20"/>
  <c r="W6" i="20" s="1"/>
  <c r="BP8" i="21"/>
  <c r="CW6" i="11"/>
  <c r="BU6" i="11"/>
  <c r="CP12" i="11"/>
  <c r="AJ6" i="44"/>
  <c r="AD8" i="44"/>
  <c r="AD6" i="44"/>
  <c r="AJ8" i="44"/>
  <c r="AJ7" i="44"/>
  <c r="AD7" i="44"/>
  <c r="AW6" i="44"/>
  <c r="AQ6" i="44"/>
  <c r="W10" i="20"/>
  <c r="CF11" i="12"/>
  <c r="BL9" i="12"/>
  <c r="CF7" i="12"/>
  <c r="AY9" i="12"/>
  <c r="BL8" i="12"/>
  <c r="BE8" i="12"/>
  <c r="BD9" i="12" s="1"/>
  <c r="BR6" i="12"/>
  <c r="BY8" i="12"/>
  <c r="BL10" i="12"/>
  <c r="BY9" i="12"/>
  <c r="BY5" i="12"/>
  <c r="BL6" i="12"/>
  <c r="BL5" i="12"/>
  <c r="AY6" i="12"/>
  <c r="AX6" i="12" s="1"/>
  <c r="DF8" i="12"/>
  <c r="CF5" i="12"/>
  <c r="DF5" i="12"/>
  <c r="CF8" i="12"/>
  <c r="AY10" i="12"/>
  <c r="BY6" i="12"/>
  <c r="BE7" i="12"/>
  <c r="BR11" i="12"/>
  <c r="CS8" i="12"/>
  <c r="BR9" i="12"/>
  <c r="BR12" i="12"/>
  <c r="BR10" i="12"/>
  <c r="BL7" i="12"/>
  <c r="BY11" i="12"/>
  <c r="BL12" i="12"/>
  <c r="BY12" i="12"/>
  <c r="CS11" i="12"/>
  <c r="CF6" i="12"/>
  <c r="BY10" i="12"/>
  <c r="DL6" i="12"/>
  <c r="CS10" i="12"/>
  <c r="CS5" i="12"/>
  <c r="AY7" i="12"/>
  <c r="BE6" i="12"/>
  <c r="BD6" i="12" s="1"/>
  <c r="CF9" i="12"/>
  <c r="CS7" i="12"/>
  <c r="CF12" i="12"/>
  <c r="CS12" i="12"/>
  <c r="AY11" i="12"/>
  <c r="BR5" i="12"/>
  <c r="DL8" i="12"/>
  <c r="BE10" i="12"/>
  <c r="AY8" i="12"/>
  <c r="DF6" i="12"/>
  <c r="BR8" i="12"/>
  <c r="BL11" i="12"/>
  <c r="CS6" i="12"/>
  <c r="DF7" i="12"/>
  <c r="CF10" i="12"/>
  <c r="BY7" i="12"/>
  <c r="BE11" i="12"/>
  <c r="BR7" i="12"/>
  <c r="DL5" i="12"/>
  <c r="DL7" i="12"/>
  <c r="CM6" i="12"/>
  <c r="CM8" i="12"/>
  <c r="CM5" i="12"/>
  <c r="CM11" i="12"/>
  <c r="CM9" i="12"/>
  <c r="CM12" i="12"/>
  <c r="CM7" i="12"/>
  <c r="CL7" i="12" s="1"/>
  <c r="CM10" i="12"/>
  <c r="CQ13" i="11"/>
  <c r="CP13" i="11" s="1"/>
  <c r="DE5" i="11"/>
  <c r="CC6" i="11"/>
  <c r="BO14" i="11"/>
  <c r="CQ6" i="11"/>
  <c r="CP11" i="11" s="1"/>
  <c r="DE14" i="11"/>
  <c r="DE11" i="11"/>
  <c r="DZ13" i="11"/>
  <c r="CJ10" i="11"/>
  <c r="CI10" i="11" s="1"/>
  <c r="CJ14" i="11"/>
  <c r="CI14" i="11" s="1"/>
  <c r="BH6" i="11"/>
  <c r="DL9" i="11"/>
  <c r="DZ6" i="11"/>
  <c r="BH12" i="11"/>
  <c r="BG13" i="11" s="1"/>
  <c r="CC9" i="11"/>
  <c r="DS8" i="11"/>
  <c r="CX8" i="11"/>
  <c r="BV10" i="11"/>
  <c r="BU10" i="11" s="1"/>
  <c r="CC8" i="11"/>
  <c r="DE7" i="11"/>
  <c r="DS12" i="11"/>
  <c r="DZ5" i="11"/>
  <c r="DE9" i="11"/>
  <c r="DS5" i="11"/>
  <c r="DS13" i="11"/>
  <c r="CX10" i="11"/>
  <c r="CW7" i="11" s="1"/>
  <c r="CC13" i="11"/>
  <c r="DS11" i="11"/>
  <c r="CJ8" i="11"/>
  <c r="CC5" i="11"/>
  <c r="CX11" i="11"/>
  <c r="DL14" i="11"/>
  <c r="BH14" i="11"/>
  <c r="CJ5" i="11"/>
  <c r="BO10" i="11"/>
  <c r="DZ12" i="11"/>
  <c r="BV14" i="11"/>
  <c r="BO11" i="11"/>
  <c r="DE8" i="11"/>
  <c r="CQ5" i="11"/>
  <c r="CX12" i="11"/>
  <c r="DE13" i="11"/>
  <c r="BH10" i="11"/>
  <c r="DL7" i="11"/>
  <c r="DK6" i="11" s="1"/>
  <c r="CC11" i="11"/>
  <c r="CJ12" i="11"/>
  <c r="BO13" i="11"/>
  <c r="BH11" i="11"/>
  <c r="BO5" i="11"/>
  <c r="DZ11" i="11"/>
  <c r="BO9" i="11"/>
  <c r="DL13" i="11"/>
  <c r="CJ7" i="11"/>
  <c r="DS10" i="11"/>
  <c r="CC7" i="11"/>
  <c r="BV11" i="11"/>
  <c r="CQ8" i="11"/>
  <c r="CP8" i="11" s="1"/>
  <c r="BH5" i="11"/>
  <c r="DL11" i="11"/>
  <c r="CX14" i="11"/>
  <c r="BV7" i="11"/>
  <c r="CX9" i="11"/>
  <c r="CW10" i="11" s="1"/>
  <c r="DE10" i="11"/>
  <c r="CC14" i="11"/>
  <c r="DZ14" i="11"/>
  <c r="DZ10" i="11"/>
  <c r="DS7" i="11"/>
  <c r="DE12" i="11"/>
  <c r="BH8" i="11"/>
  <c r="BV12" i="11"/>
  <c r="DS9" i="11"/>
  <c r="BO6" i="11"/>
  <c r="BA14" i="11"/>
  <c r="BA6" i="11"/>
  <c r="BA9" i="11"/>
  <c r="BA13" i="11"/>
  <c r="BA10" i="11"/>
  <c r="BA5" i="11"/>
  <c r="BA12" i="11"/>
  <c r="BA8" i="11"/>
  <c r="BA11" i="11"/>
  <c r="BA7" i="11"/>
  <c r="B8" i="3"/>
  <c r="AG6" i="3" s="1"/>
  <c r="B14" i="3"/>
  <c r="AG7" i="3" s="1"/>
  <c r="B20" i="3"/>
  <c r="AZ8" i="3" s="1"/>
  <c r="B26" i="3"/>
  <c r="AZ10" i="3" s="1"/>
  <c r="B30" i="3"/>
  <c r="AG10" i="3" s="1"/>
  <c r="B9" i="3"/>
  <c r="AT5" i="3" s="1"/>
  <c r="B15" i="3"/>
  <c r="AT6" i="3" s="1"/>
  <c r="B21" i="3"/>
  <c r="AT9" i="3" s="1"/>
  <c r="B27" i="3"/>
  <c r="AT10" i="3" s="1"/>
  <c r="B18" i="3"/>
  <c r="B10" i="3"/>
  <c r="AZ5" i="3" s="1"/>
  <c r="B16" i="3"/>
  <c r="AZ7" i="3" s="1"/>
  <c r="B22" i="3"/>
  <c r="AG8" i="3" s="1"/>
  <c r="B28" i="3"/>
  <c r="AG9" i="3" s="1"/>
  <c r="B24" i="3"/>
  <c r="AZ9" i="3" s="1"/>
  <c r="B5" i="3"/>
  <c r="B11" i="3"/>
  <c r="AM6" i="3" s="1"/>
  <c r="B17" i="3"/>
  <c r="AT7" i="3" s="1"/>
  <c r="B23" i="3"/>
  <c r="AM8" i="3" s="1"/>
  <c r="B29" i="3"/>
  <c r="AM10" i="3" s="1"/>
  <c r="B12" i="3"/>
  <c r="AZ6" i="3" s="1"/>
  <c r="B7" i="3"/>
  <c r="AM5" i="3" s="1"/>
  <c r="B13" i="3"/>
  <c r="AM7" i="3" s="1"/>
  <c r="B19" i="3"/>
  <c r="AT8" i="3" s="1"/>
  <c r="B25" i="3"/>
  <c r="AM9" i="3" s="1"/>
  <c r="B31" i="3"/>
  <c r="B6" i="3"/>
  <c r="AG5" i="3" s="1"/>
  <c r="BW7" i="21" l="1"/>
  <c r="BP7" i="21"/>
  <c r="BC8" i="21"/>
  <c r="BW11" i="21"/>
  <c r="BW8" i="21"/>
  <c r="BI8" i="21"/>
  <c r="BP11" i="21"/>
  <c r="BC10" i="21"/>
  <c r="BI11" i="21"/>
  <c r="BP10" i="21"/>
  <c r="BI7" i="21"/>
  <c r="AS8" i="3"/>
  <c r="CI11" i="11"/>
  <c r="BN12" i="11"/>
  <c r="DK8" i="11"/>
  <c r="BN9" i="11"/>
  <c r="DR11" i="11"/>
  <c r="BU11" i="11"/>
  <c r="BG7" i="11"/>
  <c r="BN7" i="11"/>
  <c r="DY12" i="11"/>
  <c r="DK14" i="11"/>
  <c r="DY7" i="11"/>
  <c r="BG9" i="11"/>
  <c r="DY13" i="11"/>
  <c r="DK12" i="11"/>
  <c r="CI7" i="11"/>
  <c r="CW11" i="11"/>
  <c r="BG10" i="11"/>
  <c r="BU8" i="11"/>
  <c r="CB14" i="11"/>
  <c r="CI8" i="11"/>
  <c r="DR14" i="11"/>
  <c r="AZ13" i="11"/>
  <c r="CB8" i="11"/>
  <c r="DD11" i="11"/>
  <c r="DK11" i="11"/>
  <c r="CP9" i="11"/>
  <c r="BU7" i="11"/>
  <c r="CP14" i="11"/>
  <c r="CX11" i="21"/>
  <c r="CC7" i="21"/>
  <c r="BC9" i="21"/>
  <c r="CJ10" i="21"/>
  <c r="CC10" i="21"/>
  <c r="CJ8" i="21"/>
  <c r="CX10" i="21"/>
  <c r="BI9" i="21"/>
  <c r="CX7" i="21"/>
  <c r="CQ11" i="21"/>
  <c r="DL9" i="21"/>
  <c r="CJ9" i="21"/>
  <c r="BW9" i="21"/>
  <c r="DE7" i="21"/>
  <c r="CJ11" i="21"/>
  <c r="BI10" i="21"/>
  <c r="CX8" i="21"/>
  <c r="DE10" i="21"/>
  <c r="DE9" i="21"/>
  <c r="CQ7" i="21"/>
  <c r="DL8" i="21"/>
  <c r="CC9" i="21"/>
  <c r="CC8" i="21"/>
  <c r="CJ7" i="21"/>
  <c r="DE11" i="21"/>
  <c r="CQ10" i="21"/>
  <c r="DE8" i="21"/>
  <c r="AW7" i="21"/>
  <c r="BP9" i="21"/>
  <c r="CQ8" i="21"/>
  <c r="X6" i="44"/>
  <c r="R6" i="44"/>
  <c r="BD8" i="12"/>
  <c r="BQ9" i="12"/>
  <c r="AX7" i="12"/>
  <c r="AL6" i="12"/>
  <c r="AX8" i="12"/>
  <c r="CR7" i="12"/>
  <c r="AY8" i="3"/>
  <c r="AY7" i="3"/>
  <c r="Q6" i="20"/>
  <c r="AQ7" i="21"/>
  <c r="AA5" i="3"/>
  <c r="AA6" i="3"/>
  <c r="W7" i="20"/>
  <c r="W8" i="20"/>
  <c r="W9" i="20"/>
  <c r="CE12" i="12"/>
  <c r="CR6" i="12"/>
  <c r="DD6" i="11"/>
  <c r="BN6" i="11"/>
  <c r="BG6" i="11"/>
  <c r="DY6" i="11"/>
  <c r="DD7" i="11"/>
  <c r="BG14" i="11"/>
  <c r="DR7" i="11"/>
  <c r="AZ8" i="11"/>
  <c r="BG11" i="11"/>
  <c r="DD13" i="11"/>
  <c r="CW12" i="11"/>
  <c r="BU13" i="11"/>
  <c r="BN10" i="11"/>
  <c r="CW14" i="11"/>
  <c r="DD9" i="11"/>
  <c r="CP6" i="11"/>
  <c r="AZ12" i="11"/>
  <c r="AZ6" i="11"/>
  <c r="AZ10" i="11"/>
  <c r="CB6" i="11"/>
  <c r="CW8" i="11"/>
  <c r="DR9" i="11"/>
  <c r="CB11" i="11"/>
  <c r="DY10" i="11"/>
  <c r="DY14" i="11"/>
  <c r="CB9" i="11"/>
  <c r="DR8" i="11"/>
  <c r="CB12" i="11"/>
  <c r="CI12" i="11"/>
  <c r="CB10" i="11"/>
  <c r="DR10" i="11"/>
  <c r="CB13" i="11"/>
  <c r="BG12" i="11"/>
  <c r="DY8" i="11"/>
  <c r="BN13" i="11"/>
  <c r="DY9" i="11"/>
  <c r="CP7" i="11"/>
  <c r="DK13" i="11"/>
  <c r="DD10" i="11"/>
  <c r="CI9" i="11"/>
  <c r="BU14" i="11"/>
  <c r="DD8" i="11"/>
  <c r="CI13" i="11"/>
  <c r="CB7" i="11"/>
  <c r="CW9" i="11"/>
  <c r="BN11" i="11"/>
  <c r="AZ14" i="11"/>
  <c r="DR12" i="11"/>
  <c r="BG8" i="11"/>
  <c r="BU12" i="11"/>
  <c r="DD14" i="11"/>
  <c r="DY11" i="11"/>
  <c r="BN8" i="11"/>
  <c r="AZ7" i="11"/>
  <c r="CW13" i="11"/>
  <c r="CI6" i="11"/>
  <c r="DD12" i="11"/>
  <c r="CP10" i="11"/>
  <c r="DK7" i="11"/>
  <c r="AZ11" i="11"/>
  <c r="AZ9" i="11"/>
  <c r="DK9" i="11"/>
  <c r="DR13" i="11"/>
  <c r="DR6" i="11"/>
  <c r="BN14" i="11"/>
  <c r="DK10" i="11"/>
  <c r="BU9" i="11"/>
  <c r="CR9" i="12"/>
  <c r="BK11" i="12"/>
  <c r="CE10" i="12"/>
  <c r="CR12" i="12"/>
  <c r="DK7" i="12"/>
  <c r="CL8" i="12"/>
  <c r="BD11" i="12"/>
  <c r="BQ7" i="12"/>
  <c r="BK6" i="12"/>
  <c r="CL10" i="12"/>
  <c r="CL12" i="12"/>
  <c r="BX6" i="12"/>
  <c r="DE6" i="12"/>
  <c r="AX11" i="12"/>
  <c r="BX8" i="12"/>
  <c r="BK10" i="12"/>
  <c r="BX11" i="12"/>
  <c r="CE6" i="12"/>
  <c r="CR8" i="12"/>
  <c r="BQ12" i="12"/>
  <c r="AX10" i="12"/>
  <c r="DK8" i="12"/>
  <c r="CR10" i="12"/>
  <c r="BX12" i="12"/>
  <c r="CE7" i="12"/>
  <c r="AS7" i="3"/>
  <c r="AL9" i="3"/>
  <c r="AL7" i="3"/>
  <c r="AF9" i="3"/>
  <c r="AF8" i="3"/>
  <c r="AY9" i="3"/>
  <c r="AS10" i="3"/>
  <c r="AS6" i="3"/>
  <c r="AF6" i="3"/>
  <c r="AL8" i="3"/>
  <c r="AL6" i="3"/>
  <c r="AF10" i="3"/>
  <c r="AY10" i="3"/>
  <c r="AY6" i="3"/>
  <c r="AL10" i="3"/>
  <c r="AS9" i="3"/>
  <c r="AF7" i="3"/>
  <c r="BD10" i="12"/>
  <c r="BQ6" i="12"/>
  <c r="CE11" i="12"/>
  <c r="CL6" i="12"/>
  <c r="BQ10" i="12"/>
  <c r="BK12" i="12"/>
  <c r="CR11" i="12"/>
  <c r="BK8" i="12"/>
  <c r="DK6" i="12"/>
  <c r="BQ11" i="12"/>
  <c r="BX10" i="12"/>
  <c r="AX9" i="12"/>
  <c r="AX12" i="12"/>
  <c r="CL9" i="12"/>
  <c r="CE8" i="12"/>
  <c r="BK7" i="12"/>
  <c r="BD7" i="12"/>
  <c r="DE8" i="12"/>
  <c r="CE9" i="12"/>
  <c r="CL11" i="12"/>
  <c r="DE7" i="12"/>
  <c r="BQ8" i="12"/>
  <c r="BX9" i="12"/>
  <c r="BX7" i="12"/>
  <c r="BK9" i="12"/>
  <c r="BD12" i="12"/>
  <c r="F5" i="34"/>
  <c r="F6" i="34"/>
  <c r="F7" i="34"/>
  <c r="F8" i="34"/>
  <c r="F9" i="34"/>
  <c r="F10" i="34"/>
  <c r="F11" i="34"/>
  <c r="F12" i="34"/>
  <c r="F13" i="34"/>
  <c r="F14" i="34"/>
  <c r="F15" i="34"/>
  <c r="F16" i="34"/>
  <c r="F17" i="34"/>
  <c r="F18" i="34"/>
  <c r="F19" i="34"/>
  <c r="F20" i="34"/>
  <c r="G5" i="34"/>
  <c r="G6" i="34"/>
  <c r="G7" i="34"/>
  <c r="G8" i="34"/>
  <c r="G9" i="34"/>
  <c r="G10" i="34"/>
  <c r="G11" i="34"/>
  <c r="G12" i="34"/>
  <c r="G13" i="34"/>
  <c r="G14" i="34"/>
  <c r="G15" i="34"/>
  <c r="G16" i="34"/>
  <c r="G17" i="34"/>
  <c r="G18" i="34"/>
  <c r="G19" i="34"/>
  <c r="G20" i="34"/>
  <c r="H5" i="34"/>
  <c r="H6" i="34"/>
  <c r="H7" i="34"/>
  <c r="H8" i="34"/>
  <c r="H9" i="34"/>
  <c r="H10" i="34"/>
  <c r="H11" i="34"/>
  <c r="H12" i="34"/>
  <c r="H13" i="34"/>
  <c r="H14" i="34"/>
  <c r="H15" i="34"/>
  <c r="H16" i="34"/>
  <c r="H17" i="34"/>
  <c r="H18" i="34"/>
  <c r="H19" i="34"/>
  <c r="H20" i="34"/>
  <c r="I5" i="34"/>
  <c r="I6" i="34"/>
  <c r="I7" i="34"/>
  <c r="I8" i="34"/>
  <c r="I9" i="34"/>
  <c r="I10" i="34"/>
  <c r="I11" i="34"/>
  <c r="I12" i="34"/>
  <c r="I13" i="34"/>
  <c r="I14" i="34"/>
  <c r="I15" i="34"/>
  <c r="I16" i="34"/>
  <c r="I17" i="34"/>
  <c r="I18" i="34"/>
  <c r="I19" i="34"/>
  <c r="I20" i="34"/>
  <c r="B3" i="34"/>
  <c r="Z6" i="3" l="1"/>
  <c r="G37" i="34"/>
  <c r="H37" i="34"/>
  <c r="F37" i="34"/>
  <c r="I37" i="34"/>
  <c r="B36" i="34"/>
  <c r="B30" i="34"/>
  <c r="AM13" i="34" s="1"/>
  <c r="B24" i="34"/>
  <c r="AM11" i="34" s="1"/>
  <c r="B18" i="34"/>
  <c r="AT9" i="34" s="1"/>
  <c r="B12" i="34"/>
  <c r="AM7" i="34" s="1"/>
  <c r="B6" i="34"/>
  <c r="AF5" i="34" s="1"/>
  <c r="B35" i="34"/>
  <c r="AF14" i="34" s="1"/>
  <c r="B29" i="34"/>
  <c r="AM12" i="34" s="1"/>
  <c r="B23" i="34"/>
  <c r="AT10" i="34" s="1"/>
  <c r="B17" i="34"/>
  <c r="AM8" i="34" s="1"/>
  <c r="B11" i="34"/>
  <c r="AM6" i="34" s="1"/>
  <c r="B5" i="34"/>
  <c r="B34" i="34"/>
  <c r="AF13" i="34" s="1"/>
  <c r="B28" i="34"/>
  <c r="AF11" i="34" s="1"/>
  <c r="B22" i="34"/>
  <c r="AM10" i="34" s="1"/>
  <c r="B16" i="34"/>
  <c r="AT8" i="34" s="1"/>
  <c r="B10" i="34"/>
  <c r="AT5" i="34" s="1"/>
  <c r="B33" i="34"/>
  <c r="AM14" i="34" s="1"/>
  <c r="B27" i="34"/>
  <c r="AT13" i="34" s="1"/>
  <c r="B21" i="34"/>
  <c r="AF10" i="34" s="1"/>
  <c r="B15" i="34"/>
  <c r="AT7" i="34" s="1"/>
  <c r="B9" i="34"/>
  <c r="AF7" i="34" s="1"/>
  <c r="B32" i="34"/>
  <c r="AF12" i="34" s="1"/>
  <c r="B26" i="34"/>
  <c r="AT12" i="34" s="1"/>
  <c r="B20" i="34"/>
  <c r="AF9" i="34" s="1"/>
  <c r="B14" i="34"/>
  <c r="AT6" i="34" s="1"/>
  <c r="B8" i="34"/>
  <c r="AM5" i="34" s="1"/>
  <c r="B31" i="34"/>
  <c r="AT14" i="34" s="1"/>
  <c r="B25" i="34"/>
  <c r="AT11" i="34" s="1"/>
  <c r="B19" i="34"/>
  <c r="AM9" i="34" s="1"/>
  <c r="B13" i="34"/>
  <c r="AF8" i="34" s="1"/>
  <c r="B7" i="34"/>
  <c r="AF6" i="34" s="1"/>
  <c r="Z6" i="34" l="1"/>
  <c r="Z5" i="34"/>
  <c r="AL11" i="34"/>
  <c r="AS14" i="34"/>
  <c r="AS12" i="34"/>
  <c r="AS9" i="34"/>
  <c r="AE10" i="34"/>
  <c r="AL14" i="34"/>
  <c r="AE12" i="34"/>
  <c r="AL8" i="34"/>
  <c r="AE6" i="34"/>
  <c r="AS6" i="34"/>
  <c r="AL13" i="34"/>
  <c r="AL7" i="34"/>
  <c r="AE8" i="34"/>
  <c r="AE9" i="34"/>
  <c r="AE11" i="34"/>
  <c r="AL9" i="34"/>
  <c r="AS13" i="34"/>
  <c r="AE13" i="34"/>
  <c r="AE14" i="34"/>
  <c r="AL6" i="34"/>
  <c r="AL10" i="34"/>
  <c r="AE7" i="34"/>
  <c r="AS10" i="34"/>
  <c r="AS11" i="34"/>
  <c r="AS7" i="34"/>
  <c r="AS8" i="34"/>
  <c r="AL12" i="34"/>
  <c r="E36" i="63"/>
  <c r="F36" i="63"/>
  <c r="G36" i="63"/>
  <c r="H36" i="63"/>
  <c r="I36" i="63"/>
  <c r="J36" i="63"/>
  <c r="E37" i="63"/>
  <c r="F37" i="63"/>
  <c r="G37" i="63"/>
  <c r="H37" i="63"/>
  <c r="I37" i="63"/>
  <c r="J37" i="63"/>
  <c r="E38" i="63"/>
  <c r="F38" i="63"/>
  <c r="G38" i="63"/>
  <c r="H38" i="63"/>
  <c r="I38" i="63"/>
  <c r="J38" i="63"/>
  <c r="E39" i="63"/>
  <c r="F39" i="63"/>
  <c r="G39" i="63"/>
  <c r="H39" i="63"/>
  <c r="I39" i="63"/>
  <c r="J39" i="63"/>
  <c r="E40" i="63"/>
  <c r="F40" i="63"/>
  <c r="G40" i="63"/>
  <c r="H40" i="63"/>
  <c r="I40" i="63"/>
  <c r="J40" i="63"/>
  <c r="E41" i="63"/>
  <c r="F41" i="63"/>
  <c r="G41" i="63"/>
  <c r="H41" i="63"/>
  <c r="I41" i="63"/>
  <c r="J41" i="63"/>
  <c r="E42" i="63"/>
  <c r="F42" i="63"/>
  <c r="G42" i="63"/>
  <c r="H42" i="63"/>
  <c r="I42" i="63"/>
  <c r="J42" i="63"/>
  <c r="E5" i="63"/>
  <c r="E6" i="63"/>
  <c r="E7" i="63"/>
  <c r="E8" i="63"/>
  <c r="E9" i="63"/>
  <c r="E10" i="63"/>
  <c r="E11" i="63"/>
  <c r="E12" i="63"/>
  <c r="E13" i="63"/>
  <c r="E14" i="63"/>
  <c r="E15" i="63"/>
  <c r="E16" i="63"/>
  <c r="E17" i="63"/>
  <c r="E18" i="63"/>
  <c r="E19" i="63"/>
  <c r="E20" i="63"/>
  <c r="E21" i="63"/>
  <c r="E22" i="63"/>
  <c r="E23" i="63"/>
  <c r="E24" i="63"/>
  <c r="E25" i="63"/>
  <c r="E26" i="63"/>
  <c r="E27" i="63"/>
  <c r="E28" i="63"/>
  <c r="E29" i="63"/>
  <c r="E30" i="63"/>
  <c r="E31" i="63"/>
  <c r="E32" i="63"/>
  <c r="E33" i="63"/>
  <c r="E34" i="63"/>
  <c r="E35" i="63"/>
  <c r="E43" i="63"/>
  <c r="E44" i="63"/>
  <c r="E45" i="63"/>
  <c r="E46" i="63"/>
  <c r="E47" i="63"/>
  <c r="E48" i="63"/>
  <c r="E49" i="63"/>
  <c r="E50" i="63"/>
  <c r="E51" i="63"/>
  <c r="E52" i="63"/>
  <c r="E53" i="63"/>
  <c r="E54" i="63"/>
  <c r="E55" i="63"/>
  <c r="E56" i="63"/>
  <c r="E57" i="63"/>
  <c r="E58" i="63"/>
  <c r="E59" i="63"/>
  <c r="E60" i="63"/>
  <c r="E61" i="63"/>
  <c r="E62" i="63"/>
  <c r="E63" i="63"/>
  <c r="E64" i="63"/>
  <c r="E65" i="63"/>
  <c r="E66" i="63"/>
  <c r="E67" i="63"/>
  <c r="E68" i="63"/>
  <c r="F5" i="63"/>
  <c r="F6" i="63"/>
  <c r="F7" i="63"/>
  <c r="F8" i="63"/>
  <c r="F9" i="63"/>
  <c r="F10" i="63"/>
  <c r="F11" i="63"/>
  <c r="F12" i="63"/>
  <c r="F13" i="63"/>
  <c r="F14" i="63"/>
  <c r="F15" i="63"/>
  <c r="F16" i="63"/>
  <c r="F17" i="63"/>
  <c r="F18" i="63"/>
  <c r="F19" i="63"/>
  <c r="F20" i="63"/>
  <c r="F21" i="63"/>
  <c r="F22" i="63"/>
  <c r="F23" i="63"/>
  <c r="F24" i="63"/>
  <c r="F25" i="63"/>
  <c r="F26" i="63"/>
  <c r="F27" i="63"/>
  <c r="F28" i="63"/>
  <c r="F29" i="63"/>
  <c r="F30" i="63"/>
  <c r="F31" i="63"/>
  <c r="F32" i="63"/>
  <c r="F33" i="63"/>
  <c r="F34" i="63"/>
  <c r="F35" i="63"/>
  <c r="F43" i="63"/>
  <c r="F44" i="63"/>
  <c r="F45" i="63"/>
  <c r="F46" i="63"/>
  <c r="F47" i="63"/>
  <c r="F48" i="63"/>
  <c r="F49" i="63"/>
  <c r="F50" i="63"/>
  <c r="F51" i="63"/>
  <c r="F52" i="63"/>
  <c r="F53" i="63"/>
  <c r="F54" i="63"/>
  <c r="F55" i="63"/>
  <c r="F56" i="63"/>
  <c r="F57" i="63"/>
  <c r="F58" i="63"/>
  <c r="F59" i="63"/>
  <c r="F60" i="63"/>
  <c r="F61" i="63"/>
  <c r="F62" i="63"/>
  <c r="F63" i="63"/>
  <c r="F64" i="63"/>
  <c r="F65" i="63"/>
  <c r="F66" i="63"/>
  <c r="F67" i="63"/>
  <c r="F68" i="63"/>
  <c r="G5" i="63"/>
  <c r="G6" i="63"/>
  <c r="G7" i="63"/>
  <c r="G8" i="63"/>
  <c r="G9" i="63"/>
  <c r="G10" i="63"/>
  <c r="G11" i="63"/>
  <c r="G12" i="63"/>
  <c r="G13" i="63"/>
  <c r="G14" i="63"/>
  <c r="G15" i="63"/>
  <c r="G16" i="63"/>
  <c r="G17" i="63"/>
  <c r="G18" i="63"/>
  <c r="G19" i="63"/>
  <c r="G20" i="63"/>
  <c r="G21" i="63"/>
  <c r="G22" i="63"/>
  <c r="G23" i="63"/>
  <c r="G24" i="63"/>
  <c r="G25" i="63"/>
  <c r="G26" i="63"/>
  <c r="G27" i="63"/>
  <c r="G28" i="63"/>
  <c r="G29" i="63"/>
  <c r="G30" i="63"/>
  <c r="G31" i="63"/>
  <c r="G32" i="63"/>
  <c r="G33" i="63"/>
  <c r="G34" i="63"/>
  <c r="G35" i="63"/>
  <c r="G43" i="63"/>
  <c r="G44" i="63"/>
  <c r="G45" i="63"/>
  <c r="G46" i="63"/>
  <c r="G47" i="63"/>
  <c r="G48" i="63"/>
  <c r="G49" i="63"/>
  <c r="G50" i="63"/>
  <c r="G51" i="63"/>
  <c r="G52" i="63"/>
  <c r="G53" i="63"/>
  <c r="G54" i="63"/>
  <c r="G55" i="63"/>
  <c r="G56" i="63"/>
  <c r="G57" i="63"/>
  <c r="G58" i="63"/>
  <c r="G59" i="63"/>
  <c r="G60" i="63"/>
  <c r="G61" i="63"/>
  <c r="G62" i="63"/>
  <c r="G63" i="63"/>
  <c r="G64" i="63"/>
  <c r="G65" i="63"/>
  <c r="G66" i="63"/>
  <c r="G67" i="63"/>
  <c r="G68" i="63"/>
  <c r="H5" i="63"/>
  <c r="H6" i="63"/>
  <c r="H7" i="63"/>
  <c r="H8" i="63"/>
  <c r="H9" i="63"/>
  <c r="H10" i="63"/>
  <c r="H11" i="63"/>
  <c r="H12" i="63"/>
  <c r="H13" i="63"/>
  <c r="H14" i="63"/>
  <c r="H15" i="63"/>
  <c r="H16" i="63"/>
  <c r="H17" i="63"/>
  <c r="H18" i="63"/>
  <c r="H19" i="63"/>
  <c r="H20" i="63"/>
  <c r="H21" i="63"/>
  <c r="H22" i="63"/>
  <c r="H23" i="63"/>
  <c r="H24" i="63"/>
  <c r="H25" i="63"/>
  <c r="H26" i="63"/>
  <c r="H27" i="63"/>
  <c r="H28" i="63"/>
  <c r="H29" i="63"/>
  <c r="H30" i="63"/>
  <c r="H31" i="63"/>
  <c r="H32" i="63"/>
  <c r="H33" i="63"/>
  <c r="H34" i="63"/>
  <c r="H35" i="63"/>
  <c r="H43" i="63"/>
  <c r="H44" i="63"/>
  <c r="H45" i="63"/>
  <c r="H46" i="63"/>
  <c r="H47" i="63"/>
  <c r="H48" i="63"/>
  <c r="H49" i="63"/>
  <c r="H50" i="63"/>
  <c r="H51" i="63"/>
  <c r="H52" i="63"/>
  <c r="H53" i="63"/>
  <c r="H54" i="63"/>
  <c r="H55" i="63"/>
  <c r="H56" i="63"/>
  <c r="H57" i="63"/>
  <c r="H58" i="63"/>
  <c r="H59" i="63"/>
  <c r="H60" i="63"/>
  <c r="H61" i="63"/>
  <c r="H62" i="63"/>
  <c r="H63" i="63"/>
  <c r="H64" i="63"/>
  <c r="H65" i="63"/>
  <c r="H66" i="63"/>
  <c r="H67" i="63"/>
  <c r="H68" i="63"/>
  <c r="I5" i="63"/>
  <c r="I6" i="63"/>
  <c r="I7" i="63"/>
  <c r="I8" i="63"/>
  <c r="I9" i="63"/>
  <c r="I10" i="63"/>
  <c r="I11" i="63"/>
  <c r="I12" i="63"/>
  <c r="I13" i="63"/>
  <c r="I14" i="63"/>
  <c r="I15" i="63"/>
  <c r="I16" i="63"/>
  <c r="I17" i="63"/>
  <c r="I18" i="63"/>
  <c r="I19" i="63"/>
  <c r="I20" i="63"/>
  <c r="I21" i="63"/>
  <c r="I22" i="63"/>
  <c r="I23" i="63"/>
  <c r="I24" i="63"/>
  <c r="I25" i="63"/>
  <c r="I26" i="63"/>
  <c r="I27" i="63"/>
  <c r="I28" i="63"/>
  <c r="I29" i="63"/>
  <c r="I30" i="63"/>
  <c r="I31" i="63"/>
  <c r="I32" i="63"/>
  <c r="I33" i="63"/>
  <c r="I34" i="63"/>
  <c r="I35" i="63"/>
  <c r="I43" i="63"/>
  <c r="I44" i="63"/>
  <c r="I45" i="63"/>
  <c r="I46" i="63"/>
  <c r="I47" i="63"/>
  <c r="I48" i="63"/>
  <c r="I49" i="63"/>
  <c r="I50" i="63"/>
  <c r="I51" i="63"/>
  <c r="I52" i="63"/>
  <c r="I53" i="63"/>
  <c r="I54" i="63"/>
  <c r="I55" i="63"/>
  <c r="I56" i="63"/>
  <c r="I57" i="63"/>
  <c r="I58" i="63"/>
  <c r="I59" i="63"/>
  <c r="I60" i="63"/>
  <c r="I61" i="63"/>
  <c r="I62" i="63"/>
  <c r="I63" i="63"/>
  <c r="I64" i="63"/>
  <c r="I65" i="63"/>
  <c r="I66" i="63"/>
  <c r="I67" i="63"/>
  <c r="I68" i="63"/>
  <c r="J5" i="63"/>
  <c r="J6" i="63"/>
  <c r="J7" i="63"/>
  <c r="J8" i="63"/>
  <c r="J9" i="63"/>
  <c r="J10" i="63"/>
  <c r="J11" i="63"/>
  <c r="J12" i="63"/>
  <c r="J13" i="63"/>
  <c r="J14" i="63"/>
  <c r="J15" i="63"/>
  <c r="J16" i="63"/>
  <c r="J17" i="63"/>
  <c r="J18" i="63"/>
  <c r="J19" i="63"/>
  <c r="J20" i="63"/>
  <c r="J21" i="63"/>
  <c r="J22" i="63"/>
  <c r="J23" i="63"/>
  <c r="J24" i="63"/>
  <c r="J25" i="63"/>
  <c r="J26" i="63"/>
  <c r="J27" i="63"/>
  <c r="J28" i="63"/>
  <c r="J29" i="63"/>
  <c r="J30" i="63"/>
  <c r="J31" i="63"/>
  <c r="J32" i="63"/>
  <c r="J33" i="63"/>
  <c r="J34" i="63"/>
  <c r="J35" i="63"/>
  <c r="J43" i="63"/>
  <c r="J44" i="63"/>
  <c r="J45" i="63"/>
  <c r="J46" i="63"/>
  <c r="J47" i="63"/>
  <c r="J48" i="63"/>
  <c r="J49" i="63"/>
  <c r="J50" i="63"/>
  <c r="J51" i="63"/>
  <c r="J52" i="63"/>
  <c r="J53" i="63"/>
  <c r="J54" i="63"/>
  <c r="J55" i="63"/>
  <c r="J56" i="63"/>
  <c r="J57" i="63"/>
  <c r="J58" i="63"/>
  <c r="J59" i="63"/>
  <c r="J60" i="63"/>
  <c r="J61" i="63"/>
  <c r="J62" i="63"/>
  <c r="J63" i="63"/>
  <c r="J64" i="63"/>
  <c r="J65" i="63"/>
  <c r="J66" i="63"/>
  <c r="J67" i="63"/>
  <c r="J68" i="63"/>
  <c r="B3" i="63"/>
  <c r="Y6" i="34" l="1"/>
  <c r="E69" i="63"/>
  <c r="F69" i="63"/>
  <c r="G69" i="63"/>
  <c r="H69" i="63"/>
  <c r="I69" i="63"/>
  <c r="J69" i="63"/>
  <c r="B6" i="63"/>
  <c r="AQ5" i="63" s="1"/>
  <c r="B12" i="63"/>
  <c r="B18" i="63"/>
  <c r="BL6" i="63" s="1"/>
  <c r="B24" i="63"/>
  <c r="BL7" i="63" s="1"/>
  <c r="B30" i="63"/>
  <c r="BL9" i="63" s="1"/>
  <c r="B36" i="63"/>
  <c r="AQ10" i="63" s="1"/>
  <c r="B42" i="63"/>
  <c r="BL11" i="63" s="1"/>
  <c r="B48" i="63"/>
  <c r="BE13" i="63" s="1"/>
  <c r="B54" i="63"/>
  <c r="B60" i="63"/>
  <c r="AQ13" i="63" s="1"/>
  <c r="B66" i="63"/>
  <c r="AQ15" i="63" s="1"/>
  <c r="B7" i="63"/>
  <c r="AQ6" i="63" s="1"/>
  <c r="B13" i="63"/>
  <c r="AQ8" i="63" s="1"/>
  <c r="B19" i="63"/>
  <c r="B25" i="63"/>
  <c r="BE8" i="63" s="1"/>
  <c r="B31" i="63"/>
  <c r="BL10" i="63" s="1"/>
  <c r="B37" i="63"/>
  <c r="AQ11" i="63" s="1"/>
  <c r="B43" i="63"/>
  <c r="BL12" i="63" s="1"/>
  <c r="B49" i="63"/>
  <c r="BL14" i="63" s="1"/>
  <c r="B55" i="63"/>
  <c r="BL15" i="63" s="1"/>
  <c r="B67" i="63"/>
  <c r="AQ16" i="63" s="1"/>
  <c r="B8" i="63"/>
  <c r="AX5" i="63" s="1"/>
  <c r="B20" i="63"/>
  <c r="AX8" i="63" s="1"/>
  <c r="B32" i="63"/>
  <c r="B44" i="63"/>
  <c r="AX12" i="63" s="1"/>
  <c r="B56" i="63"/>
  <c r="AX14" i="63" s="1"/>
  <c r="B68" i="63"/>
  <c r="B9" i="63"/>
  <c r="AQ7" i="63" s="1"/>
  <c r="B15" i="63"/>
  <c r="BE6" i="63" s="1"/>
  <c r="B21" i="63"/>
  <c r="AQ9" i="63" s="1"/>
  <c r="B27" i="63"/>
  <c r="BL8" i="63" s="1"/>
  <c r="B33" i="63"/>
  <c r="B39" i="63"/>
  <c r="BE11" i="63" s="1"/>
  <c r="B45" i="63"/>
  <c r="BE12" i="63" s="1"/>
  <c r="B51" i="63"/>
  <c r="BE14" i="63" s="1"/>
  <c r="B57" i="63"/>
  <c r="BL16" i="63" s="1"/>
  <c r="B63" i="63"/>
  <c r="BE16" i="63" s="1"/>
  <c r="B10" i="63"/>
  <c r="BE5" i="63" s="1"/>
  <c r="B16" i="63"/>
  <c r="BL5" i="63" s="1"/>
  <c r="B22" i="63"/>
  <c r="BE7" i="63" s="1"/>
  <c r="B28" i="63"/>
  <c r="BE9" i="63" s="1"/>
  <c r="B34" i="63"/>
  <c r="BE10" i="63" s="1"/>
  <c r="B40" i="63"/>
  <c r="B46" i="63"/>
  <c r="BL13" i="63" s="1"/>
  <c r="B52" i="63"/>
  <c r="AQ12" i="63" s="1"/>
  <c r="B58" i="63"/>
  <c r="BE15" i="63" s="1"/>
  <c r="B64" i="63"/>
  <c r="AQ14" i="63" s="1"/>
  <c r="B5" i="63"/>
  <c r="B11" i="63"/>
  <c r="AX6" i="63" s="1"/>
  <c r="B17" i="63"/>
  <c r="AX7" i="63" s="1"/>
  <c r="B23" i="63"/>
  <c r="B29" i="63"/>
  <c r="AX9" i="63" s="1"/>
  <c r="B35" i="63"/>
  <c r="AX10" i="63" s="1"/>
  <c r="B41" i="63"/>
  <c r="B47" i="63"/>
  <c r="B53" i="63"/>
  <c r="AX13" i="63" s="1"/>
  <c r="B59" i="63"/>
  <c r="B65" i="63"/>
  <c r="AX16" i="63" s="1"/>
  <c r="B61" i="63"/>
  <c r="B14" i="63"/>
  <c r="B26" i="63"/>
  <c r="B38" i="63"/>
  <c r="AX11" i="63" s="1"/>
  <c r="B50" i="63"/>
  <c r="B62" i="63"/>
  <c r="AX15" i="63" s="1"/>
  <c r="E27" i="3"/>
  <c r="F27" i="3"/>
  <c r="G27" i="3"/>
  <c r="E7" i="3"/>
  <c r="F7" i="3"/>
  <c r="G7" i="3"/>
  <c r="E8" i="3"/>
  <c r="F8" i="3"/>
  <c r="G8" i="3"/>
  <c r="BK9" i="63" l="1"/>
  <c r="BD9" i="63"/>
  <c r="AW12" i="63"/>
  <c r="BY9" i="63"/>
  <c r="BY7" i="63"/>
  <c r="BY6" i="63"/>
  <c r="BY5" i="63"/>
  <c r="BY8" i="63"/>
  <c r="BY10" i="63"/>
  <c r="AJ6" i="63"/>
  <c r="AD6" i="63"/>
  <c r="BS5" i="63"/>
  <c r="AJ9" i="63"/>
  <c r="BS6" i="63"/>
  <c r="AJ5" i="63"/>
  <c r="AJ8" i="63"/>
  <c r="AD5" i="63"/>
  <c r="AJ7" i="63"/>
  <c r="AJ10" i="63"/>
  <c r="AP12" i="63"/>
  <c r="BK13" i="63"/>
  <c r="AP7" i="63"/>
  <c r="AW14" i="63"/>
  <c r="BK10" i="63"/>
  <c r="AP9" i="63"/>
  <c r="AP6" i="63"/>
  <c r="AP16" i="63"/>
  <c r="BK8" i="63"/>
  <c r="BD15" i="63"/>
  <c r="BD7" i="63"/>
  <c r="BD12" i="63"/>
  <c r="BD14" i="63"/>
  <c r="AW15" i="63"/>
  <c r="AW9" i="63"/>
  <c r="BK15" i="63"/>
  <c r="AW6" i="63"/>
  <c r="AP14" i="63"/>
  <c r="BD11" i="63"/>
  <c r="BK14" i="63"/>
  <c r="AW8" i="63"/>
  <c r="BK12" i="63"/>
  <c r="BK16" i="63"/>
  <c r="AP11" i="63"/>
  <c r="BD6" i="63"/>
  <c r="AW11" i="63"/>
  <c r="AP10" i="63"/>
  <c r="AP15" i="63"/>
  <c r="BK7" i="63"/>
  <c r="AW16" i="63"/>
  <c r="BD10" i="63"/>
  <c r="AP13" i="63"/>
  <c r="BD8" i="63"/>
  <c r="BK11" i="63"/>
  <c r="AW10" i="63"/>
  <c r="AW7" i="63"/>
  <c r="BD13" i="63"/>
  <c r="BD16" i="63"/>
  <c r="BK6" i="63"/>
  <c r="AW13" i="63"/>
  <c r="AP8" i="63"/>
  <c r="H27" i="3" a="1"/>
  <c r="H27" i="3" s="1"/>
  <c r="H8" i="3" a="1"/>
  <c r="H8" i="3" s="1"/>
  <c r="H7" i="3" a="1"/>
  <c r="H7" i="3" s="1"/>
  <c r="B3" i="19"/>
  <c r="BX7" i="63" l="1"/>
  <c r="AI8" i="63"/>
  <c r="BX9" i="63"/>
  <c r="AI10" i="63"/>
  <c r="BX6" i="63"/>
  <c r="BR6" i="63"/>
  <c r="AC6" i="63"/>
  <c r="BX8" i="63"/>
  <c r="AI9" i="63"/>
  <c r="AI7" i="63"/>
  <c r="BX10" i="63"/>
  <c r="AI6" i="63"/>
  <c r="B11" i="19"/>
  <c r="B17" i="19"/>
  <c r="B8" i="19"/>
  <c r="B9" i="19"/>
  <c r="B5" i="19"/>
  <c r="B6" i="19"/>
  <c r="Y5" i="19" s="1"/>
  <c r="B12" i="19"/>
  <c r="B18" i="19"/>
  <c r="B7" i="19"/>
  <c r="B13" i="19"/>
  <c r="B19" i="19"/>
  <c r="B14" i="19"/>
  <c r="B10" i="19"/>
  <c r="AF6" i="19" s="1"/>
  <c r="B16" i="19"/>
  <c r="B20" i="19"/>
  <c r="B15" i="19"/>
  <c r="AF5" i="19" l="1"/>
  <c r="S5" i="19"/>
  <c r="S6" i="19"/>
  <c r="Y8" i="19"/>
  <c r="Y7" i="19"/>
  <c r="AL5" i="19"/>
  <c r="AL7" i="19"/>
  <c r="Y12" i="19"/>
  <c r="Y9" i="19"/>
  <c r="Y6" i="19"/>
  <c r="X6" i="19" s="1"/>
  <c r="Y10" i="19"/>
  <c r="Y11" i="19"/>
  <c r="AL8" i="19"/>
  <c r="AL6" i="19"/>
  <c r="E5" i="19"/>
  <c r="AK7" i="19" l="1"/>
  <c r="AE6" i="19"/>
  <c r="R6" i="19"/>
  <c r="AK8" i="19"/>
  <c r="AK6" i="19"/>
  <c r="X11" i="19"/>
  <c r="X10" i="19"/>
  <c r="X8" i="19"/>
  <c r="X7" i="19"/>
  <c r="X12" i="19"/>
  <c r="X9" i="19"/>
  <c r="E20" i="19"/>
  <c r="E14" i="19"/>
  <c r="E6" i="19" l="1"/>
  <c r="E7" i="19"/>
  <c r="E8" i="19"/>
  <c r="E9" i="19"/>
  <c r="E10" i="19"/>
  <c r="E11" i="19"/>
  <c r="E12" i="19"/>
  <c r="E13" i="19"/>
  <c r="E15" i="19"/>
  <c r="E16" i="19"/>
  <c r="E17" i="19"/>
  <c r="E18" i="19"/>
  <c r="E19" i="19"/>
  <c r="E6" i="3"/>
  <c r="E9" i="3"/>
  <c r="E10" i="3"/>
  <c r="E11" i="3"/>
  <c r="E12" i="3"/>
  <c r="E13" i="3"/>
  <c r="E14" i="3"/>
  <c r="E15" i="3"/>
  <c r="E16" i="3"/>
  <c r="E17" i="3"/>
  <c r="E18" i="3"/>
  <c r="E19" i="3"/>
  <c r="E20" i="3"/>
  <c r="E21" i="3"/>
  <c r="E22" i="3"/>
  <c r="E23" i="3"/>
  <c r="E24" i="3"/>
  <c r="E25" i="3"/>
  <c r="E26" i="3"/>
  <c r="E28" i="3"/>
  <c r="E29" i="3"/>
  <c r="E30" i="3"/>
  <c r="E31" i="3"/>
  <c r="E5" i="3"/>
  <c r="G6" i="3"/>
  <c r="G9" i="3"/>
  <c r="G10" i="3"/>
  <c r="G11" i="3"/>
  <c r="G12" i="3"/>
  <c r="G13" i="3"/>
  <c r="G14" i="3"/>
  <c r="G15" i="3"/>
  <c r="G16" i="3"/>
  <c r="G17" i="3"/>
  <c r="G18" i="3"/>
  <c r="G19" i="3"/>
  <c r="G20" i="3"/>
  <c r="G21" i="3"/>
  <c r="G22" i="3"/>
  <c r="G23" i="3"/>
  <c r="G24" i="3"/>
  <c r="G25" i="3"/>
  <c r="G26" i="3"/>
  <c r="G28" i="3"/>
  <c r="G29" i="3"/>
  <c r="G30" i="3"/>
  <c r="G31" i="3"/>
  <c r="F6" i="3"/>
  <c r="F9" i="3"/>
  <c r="F10" i="3"/>
  <c r="F11" i="3"/>
  <c r="F12" i="3"/>
  <c r="F13" i="3"/>
  <c r="F14" i="3"/>
  <c r="F15" i="3"/>
  <c r="F16" i="3"/>
  <c r="F17" i="3"/>
  <c r="F18" i="3"/>
  <c r="F19" i="3"/>
  <c r="F20" i="3"/>
  <c r="F21" i="3"/>
  <c r="F22" i="3"/>
  <c r="F23" i="3"/>
  <c r="F24" i="3"/>
  <c r="F25" i="3"/>
  <c r="F26" i="3"/>
  <c r="F28" i="3"/>
  <c r="F29" i="3"/>
  <c r="F30" i="3"/>
  <c r="F31" i="3"/>
  <c r="F5" i="3"/>
  <c r="G5" i="3"/>
  <c r="F32" i="3" l="1"/>
  <c r="H31" i="3" a="1"/>
  <c r="H31" i="3" s="1"/>
  <c r="H24" i="3" a="1"/>
  <c r="H24" i="3" s="1"/>
  <c r="H18" i="3" a="1"/>
  <c r="H18" i="3" s="1"/>
  <c r="H12" i="3" a="1"/>
  <c r="H12" i="3" s="1"/>
  <c r="H30" i="3" a="1"/>
  <c r="H30" i="3" s="1"/>
  <c r="H23" i="3" a="1"/>
  <c r="H23" i="3" s="1"/>
  <c r="H17" i="3" a="1"/>
  <c r="H17" i="3" s="1"/>
  <c r="H11" i="3" a="1"/>
  <c r="H11" i="3" s="1"/>
  <c r="H29" i="3" a="1"/>
  <c r="H29" i="3" s="1"/>
  <c r="H22" i="3" a="1"/>
  <c r="H22" i="3" s="1"/>
  <c r="H16" i="3" a="1"/>
  <c r="H16" i="3" s="1"/>
  <c r="H10" i="3" a="1"/>
  <c r="H10" i="3" s="1"/>
  <c r="H28" i="3" a="1"/>
  <c r="H28" i="3" s="1"/>
  <c r="H21" i="3" a="1"/>
  <c r="H21" i="3" s="1"/>
  <c r="H15" i="3" a="1"/>
  <c r="H15" i="3" s="1"/>
  <c r="H9" i="3" a="1"/>
  <c r="H9" i="3" s="1"/>
  <c r="H26" i="3" a="1"/>
  <c r="H26" i="3" s="1"/>
  <c r="H20" i="3" a="1"/>
  <c r="H20" i="3" s="1"/>
  <c r="H14" i="3" a="1"/>
  <c r="H14" i="3" s="1"/>
  <c r="H6" i="3" a="1"/>
  <c r="H6" i="3" s="1"/>
  <c r="G32" i="3"/>
  <c r="H5" i="3" a="1"/>
  <c r="H5" i="3" s="1"/>
  <c r="E32" i="3"/>
  <c r="H25" i="3" a="1"/>
  <c r="H25" i="3" s="1"/>
  <c r="H19" i="3" a="1"/>
  <c r="H19" i="3" s="1"/>
  <c r="H13" i="3" a="1"/>
  <c r="H13" i="3" s="1"/>
  <c r="E21" i="19"/>
</calcChain>
</file>

<file path=xl/sharedStrings.xml><?xml version="1.0" encoding="utf-8"?>
<sst xmlns="http://schemas.openxmlformats.org/spreadsheetml/2006/main" count="1435" uniqueCount="540">
  <si>
    <t>Median</t>
  </si>
  <si>
    <t>Total</t>
  </si>
  <si>
    <t>Base</t>
  </si>
  <si>
    <t/>
  </si>
  <si>
    <t>n</t>
  </si>
  <si>
    <t>Qty</t>
  </si>
  <si>
    <t>Fixed</t>
  </si>
  <si>
    <r>
      <t>b</t>
    </r>
    <r>
      <rPr>
        <b/>
        <vertAlign val="superscript"/>
        <sz val="11"/>
        <color theme="0"/>
        <rFont val="Calibri"/>
        <family val="2"/>
        <scheme val="minor"/>
      </rPr>
      <t>0</t>
    </r>
  </si>
  <si>
    <r>
      <t>b</t>
    </r>
    <r>
      <rPr>
        <b/>
        <vertAlign val="superscript"/>
        <sz val="11"/>
        <color theme="0"/>
        <rFont val="Calibri"/>
        <family val="2"/>
        <scheme val="minor"/>
      </rPr>
      <t>1</t>
    </r>
  </si>
  <si>
    <r>
      <t>b</t>
    </r>
    <r>
      <rPr>
        <b/>
        <vertAlign val="superscript"/>
        <sz val="11"/>
        <color theme="0"/>
        <rFont val="Calibri"/>
        <family val="2"/>
        <scheme val="minor"/>
      </rPr>
      <t>2</t>
    </r>
  </si>
  <si>
    <r>
      <t>b</t>
    </r>
    <r>
      <rPr>
        <b/>
        <vertAlign val="superscript"/>
        <sz val="11"/>
        <color theme="0"/>
        <rFont val="Calibri"/>
        <family val="2"/>
        <scheme val="minor"/>
      </rPr>
      <t>3</t>
    </r>
  </si>
  <si>
    <r>
      <t>b</t>
    </r>
    <r>
      <rPr>
        <b/>
        <vertAlign val="superscript"/>
        <sz val="11"/>
        <color theme="0"/>
        <rFont val="Calibri"/>
        <family val="2"/>
        <scheme val="minor"/>
      </rPr>
      <t>4</t>
    </r>
  </si>
  <si>
    <r>
      <t>b</t>
    </r>
    <r>
      <rPr>
        <b/>
        <vertAlign val="superscript"/>
        <sz val="11"/>
        <color theme="0"/>
        <rFont val="Calibri"/>
        <family val="2"/>
        <scheme val="minor"/>
      </rPr>
      <t>5</t>
    </r>
  </si>
  <si>
    <t>1 paired palindromic sets</t>
  </si>
  <si>
    <t>4 paired palindromic sets</t>
  </si>
  <si>
    <t>Total paired sets</t>
  </si>
  <si>
    <t>Total sets</t>
  </si>
  <si>
    <t>3 paired palindromic sets</t>
  </si>
  <si>
    <t>5 paired palindromic sets</t>
  </si>
  <si>
    <t>6 paired palindromic sets</t>
  </si>
  <si>
    <t>2 paired palindromic sets</t>
  </si>
  <si>
    <t>Set type</t>
  </si>
  <si>
    <t>2 paired self-palindromic sets</t>
  </si>
  <si>
    <t>1 paired self-palindromic sets</t>
  </si>
  <si>
    <t>3 paired self-palindromic sets</t>
  </si>
  <si>
    <t>Row</t>
  </si>
  <si>
    <t>Offset</t>
  </si>
  <si>
    <t>x</t>
  </si>
  <si>
    <t>Interval</t>
  </si>
  <si>
    <t xml:space="preserve">Permutation
</t>
  </si>
  <si>
    <t>00 A1</t>
  </si>
  <si>
    <t>11 B1</t>
  </si>
  <si>
    <t>01 S1</t>
  </si>
  <si>
    <t>A1</t>
  </si>
  <si>
    <t>B1</t>
  </si>
  <si>
    <t>S1</t>
  </si>
  <si>
    <t>A2</t>
  </si>
  <si>
    <t>B2</t>
  </si>
  <si>
    <t>S2</t>
  </si>
  <si>
    <t>A3</t>
  </si>
  <si>
    <t>B3</t>
  </si>
  <si>
    <t>A4</t>
  </si>
  <si>
    <t>B4</t>
  </si>
  <si>
    <t>A5</t>
  </si>
  <si>
    <t>B5</t>
  </si>
  <si>
    <t>A6</t>
  </si>
  <si>
    <t>B6</t>
  </si>
  <si>
    <t>A7</t>
  </si>
  <si>
    <t>B7</t>
  </si>
  <si>
    <t>A8</t>
  </si>
  <si>
    <t>B8</t>
  </si>
  <si>
    <t>A9</t>
  </si>
  <si>
    <t>B9</t>
  </si>
  <si>
    <t>A10</t>
  </si>
  <si>
    <t>B10</t>
  </si>
  <si>
    <t>S3</t>
  </si>
  <si>
    <t>000 A1</t>
  </si>
  <si>
    <t>111 B1</t>
  </si>
  <si>
    <t>001 A2</t>
  </si>
  <si>
    <t>010 A2</t>
  </si>
  <si>
    <t>100 A2</t>
  </si>
  <si>
    <t>011 B2</t>
  </si>
  <si>
    <t>101 B2</t>
  </si>
  <si>
    <t>110 B2</t>
  </si>
  <si>
    <t>10 S1</t>
  </si>
  <si>
    <t>0000 A1</t>
  </si>
  <si>
    <t>0001 A2</t>
  </si>
  <si>
    <t>0010 A2</t>
  </si>
  <si>
    <t>0011 S2</t>
  </si>
  <si>
    <t>0100 A2</t>
  </si>
  <si>
    <t>0101 S1</t>
  </si>
  <si>
    <t>0110 S2</t>
  </si>
  <si>
    <t>0111 B2</t>
  </si>
  <si>
    <t>1000 A2</t>
  </si>
  <si>
    <t>1001 S2</t>
  </si>
  <si>
    <t>1010 S1</t>
  </si>
  <si>
    <t>1011 B2</t>
  </si>
  <si>
    <t>1100 S2</t>
  </si>
  <si>
    <t>1101 B2</t>
  </si>
  <si>
    <t>1110 B2</t>
  </si>
  <si>
    <t>1111 B1</t>
  </si>
  <si>
    <t>00000 A1</t>
  </si>
  <si>
    <t>00001 A2</t>
  </si>
  <si>
    <t>00010 A2</t>
  </si>
  <si>
    <t>00011 A3</t>
  </si>
  <si>
    <t>00100 A2</t>
  </si>
  <si>
    <t>00101 A4</t>
  </si>
  <si>
    <t>00110 A3</t>
  </si>
  <si>
    <t>00111 B3</t>
  </si>
  <si>
    <t>01000 A2</t>
  </si>
  <si>
    <t>01001 A4</t>
  </si>
  <si>
    <t>01010 A4</t>
  </si>
  <si>
    <t>01011 B4</t>
  </si>
  <si>
    <t>01100 A3</t>
  </si>
  <si>
    <t>01101 B4</t>
  </si>
  <si>
    <t>01110 B3</t>
  </si>
  <si>
    <t>01111 B2</t>
  </si>
  <si>
    <t>10000 A2</t>
  </si>
  <si>
    <t>10001 A3</t>
  </si>
  <si>
    <t>10010 A4</t>
  </si>
  <si>
    <t>10011 B3</t>
  </si>
  <si>
    <t>10100 A4</t>
  </si>
  <si>
    <t>10101 B4</t>
  </si>
  <si>
    <t>10110 B4</t>
  </si>
  <si>
    <t>10111 B2</t>
  </si>
  <si>
    <t>11000 A3</t>
  </si>
  <si>
    <t>11001 B3</t>
  </si>
  <si>
    <t>11010 B4</t>
  </si>
  <si>
    <t>11011 B2</t>
  </si>
  <si>
    <t>11100 B3</t>
  </si>
  <si>
    <t>11101 B2</t>
  </si>
  <si>
    <t>11110 B2</t>
  </si>
  <si>
    <t>11111 B1</t>
  </si>
  <si>
    <t>000000 A1</t>
  </si>
  <si>
    <t>000001 A3</t>
  </si>
  <si>
    <t>000010 A3</t>
  </si>
  <si>
    <t>000011 A4</t>
  </si>
  <si>
    <t>000100 A3</t>
  </si>
  <si>
    <t>000101 A5</t>
  </si>
  <si>
    <t>000110 A4</t>
  </si>
  <si>
    <t>000111 S2</t>
  </si>
  <si>
    <t>001000 A3</t>
  </si>
  <si>
    <t>001001 A2</t>
  </si>
  <si>
    <t>001010 A5</t>
  </si>
  <si>
    <t>001011 A6</t>
  </si>
  <si>
    <t>001100 A4</t>
  </si>
  <si>
    <t>001101 B6</t>
  </si>
  <si>
    <t>001110 S2</t>
  </si>
  <si>
    <t>001111 B4</t>
  </si>
  <si>
    <t>010000 A3</t>
  </si>
  <si>
    <t>010001 A5</t>
  </si>
  <si>
    <t>010010 A2</t>
  </si>
  <si>
    <t>010011 B6</t>
  </si>
  <si>
    <t>010100 A5</t>
  </si>
  <si>
    <t>010101 S1</t>
  </si>
  <si>
    <t>010110 A6</t>
  </si>
  <si>
    <t>010111 B5</t>
  </si>
  <si>
    <t>011000 A4</t>
  </si>
  <si>
    <t>011001 A6</t>
  </si>
  <si>
    <t>011010 B6</t>
  </si>
  <si>
    <t>011011 B2</t>
  </si>
  <si>
    <t>011100 S2</t>
  </si>
  <si>
    <t>011101 B5</t>
  </si>
  <si>
    <t>011110 B4</t>
  </si>
  <si>
    <t>011111 B3</t>
  </si>
  <si>
    <t>100000 A3</t>
  </si>
  <si>
    <t>100001 A4</t>
  </si>
  <si>
    <t>100010 A5</t>
  </si>
  <si>
    <t>100011 S2</t>
  </si>
  <si>
    <t>100100 A2</t>
  </si>
  <si>
    <t>100101 A6</t>
  </si>
  <si>
    <t>100110 B6</t>
  </si>
  <si>
    <t>100111 B4</t>
  </si>
  <si>
    <t>101000 A5</t>
  </si>
  <si>
    <t>101001 B6</t>
  </si>
  <si>
    <t>101010 S1</t>
  </si>
  <si>
    <t>101011 B5</t>
  </si>
  <si>
    <t>101100 A6</t>
  </si>
  <si>
    <t>101101 B2</t>
  </si>
  <si>
    <t>101110 B5</t>
  </si>
  <si>
    <t>101111 B3</t>
  </si>
  <si>
    <t>110000 A4</t>
  </si>
  <si>
    <t>110001 S2</t>
  </si>
  <si>
    <t>110010 A6</t>
  </si>
  <si>
    <t>110011 B4</t>
  </si>
  <si>
    <t>110100 B6</t>
  </si>
  <si>
    <t>110101 B5</t>
  </si>
  <si>
    <t>110110 B2</t>
  </si>
  <si>
    <t>110111 B3</t>
  </si>
  <si>
    <t>111000 S2</t>
  </si>
  <si>
    <t>111001 B4</t>
  </si>
  <si>
    <t>111010 B5</t>
  </si>
  <si>
    <t>111011 B3</t>
  </si>
  <si>
    <t>111100 B4</t>
  </si>
  <si>
    <t>111101 B3</t>
  </si>
  <si>
    <t>111110 B3</t>
  </si>
  <si>
    <t>111111 B1</t>
  </si>
  <si>
    <t>A11</t>
  </si>
  <si>
    <t>B11</t>
  </si>
  <si>
    <t>A12</t>
  </si>
  <si>
    <t>B12</t>
  </si>
  <si>
    <t>01 A2</t>
  </si>
  <si>
    <t>02 S1</t>
  </si>
  <si>
    <t>10 A2</t>
  </si>
  <si>
    <t>12 B2</t>
  </si>
  <si>
    <t>20 S1</t>
  </si>
  <si>
    <t>21 B2</t>
  </si>
  <si>
    <t>22 B1</t>
  </si>
  <si>
    <t>002 A3</t>
  </si>
  <si>
    <t>011 A4</t>
  </si>
  <si>
    <t>012 A5</t>
  </si>
  <si>
    <t>020 A3</t>
  </si>
  <si>
    <t>021 B5</t>
  </si>
  <si>
    <t>022 B3</t>
  </si>
  <si>
    <t>101 A4</t>
  </si>
  <si>
    <t>102 B5</t>
  </si>
  <si>
    <t>110 A4</t>
  </si>
  <si>
    <t>112 B4</t>
  </si>
  <si>
    <t>120 A5</t>
  </si>
  <si>
    <t>121 B4</t>
  </si>
  <si>
    <t>122 B2</t>
  </si>
  <si>
    <t>200 A3</t>
  </si>
  <si>
    <t>201 A5</t>
  </si>
  <si>
    <t>202 B3</t>
  </si>
  <si>
    <t>210 B5</t>
  </si>
  <si>
    <t>211 B4</t>
  </si>
  <si>
    <t>212 B2</t>
  </si>
  <si>
    <t>220 B3</t>
  </si>
  <si>
    <t>221 B2</t>
  </si>
  <si>
    <t>222 B1</t>
  </si>
  <si>
    <t>0001 A3</t>
  </si>
  <si>
    <t>0002 A4</t>
  </si>
  <si>
    <t>0010 A3</t>
  </si>
  <si>
    <t>0011 A5</t>
  </si>
  <si>
    <t>0012 A6</t>
  </si>
  <si>
    <t>0020 A4</t>
  </si>
  <si>
    <t>0021 A7</t>
  </si>
  <si>
    <t>0022 S2</t>
  </si>
  <si>
    <t>0100 A3</t>
  </si>
  <si>
    <t>0101 A2</t>
  </si>
  <si>
    <t>0102 A8</t>
  </si>
  <si>
    <t>0110 A5</t>
  </si>
  <si>
    <t>0111 A9</t>
  </si>
  <si>
    <t>0112 A10</t>
  </si>
  <si>
    <t>0120 A6</t>
  </si>
  <si>
    <t>0121 S3</t>
  </si>
  <si>
    <t>0122 B7</t>
  </si>
  <si>
    <t>0200 A4</t>
  </si>
  <si>
    <t>0201 A8</t>
  </si>
  <si>
    <t>0202 S1</t>
  </si>
  <si>
    <t>0210 A7</t>
  </si>
  <si>
    <t>0211 B10</t>
  </si>
  <si>
    <t>0212 B8</t>
  </si>
  <si>
    <t>0220 S2</t>
  </si>
  <si>
    <t>0221 B6</t>
  </si>
  <si>
    <t>0222 B4</t>
  </si>
  <si>
    <t>1000 A3</t>
  </si>
  <si>
    <t>1001 A5</t>
  </si>
  <si>
    <t>1002 A7</t>
  </si>
  <si>
    <t>1010 A2</t>
  </si>
  <si>
    <t>1011 A9</t>
  </si>
  <si>
    <t>1012 S3</t>
  </si>
  <si>
    <t>1020 A8</t>
  </si>
  <si>
    <t>1021 B10</t>
  </si>
  <si>
    <t>1022 B6</t>
  </si>
  <si>
    <t>1100 A5</t>
  </si>
  <si>
    <t>1101 A9</t>
  </si>
  <si>
    <t>1102 B10</t>
  </si>
  <si>
    <t>1110 A9</t>
  </si>
  <si>
    <t>1112 B9</t>
  </si>
  <si>
    <t>1120 A10</t>
  </si>
  <si>
    <t>1121 B9</t>
  </si>
  <si>
    <t>1122 B5</t>
  </si>
  <si>
    <t>1200 A6</t>
  </si>
  <si>
    <t>1201 A10</t>
  </si>
  <si>
    <t>1202 B8</t>
  </si>
  <si>
    <t>1210 S3</t>
  </si>
  <si>
    <t>1211 B9</t>
  </si>
  <si>
    <t>1212 B2</t>
  </si>
  <si>
    <t>1220 B7</t>
  </si>
  <si>
    <t>1221 B5</t>
  </si>
  <si>
    <t>1222 B3</t>
  </si>
  <si>
    <t>2000 A4</t>
  </si>
  <si>
    <t>2001 A6</t>
  </si>
  <si>
    <t>2002 S2</t>
  </si>
  <si>
    <t>2010 A8</t>
  </si>
  <si>
    <t>2011 A10</t>
  </si>
  <si>
    <t>2012 B7</t>
  </si>
  <si>
    <t>2020 S1</t>
  </si>
  <si>
    <t>2021 B8</t>
  </si>
  <si>
    <t>2022 B4</t>
  </si>
  <si>
    <t>2100 A7</t>
  </si>
  <si>
    <t>2101 S3</t>
  </si>
  <si>
    <t>2102 B6</t>
  </si>
  <si>
    <t>2110 B10</t>
  </si>
  <si>
    <t>2111 B9</t>
  </si>
  <si>
    <t>2112 B5</t>
  </si>
  <si>
    <t>2120 B8</t>
  </si>
  <si>
    <t>2121 B2</t>
  </si>
  <si>
    <t>2122 B3</t>
  </si>
  <si>
    <t>2200 S2</t>
  </si>
  <si>
    <t>2201 B7</t>
  </si>
  <si>
    <t>2202 B4</t>
  </si>
  <si>
    <t>2210 B6</t>
  </si>
  <si>
    <t>2211 B5</t>
  </si>
  <si>
    <t>2212 B3</t>
  </si>
  <si>
    <t>2220 B4</t>
  </si>
  <si>
    <t>2221 B3</t>
  </si>
  <si>
    <t>2222 B1</t>
  </si>
  <si>
    <t>01 A3</t>
  </si>
  <si>
    <t>02 A4</t>
  </si>
  <si>
    <t>03 S1</t>
  </si>
  <si>
    <t>10 A3</t>
  </si>
  <si>
    <t>11 A2</t>
  </si>
  <si>
    <t>12 S2</t>
  </si>
  <si>
    <t>13 B4</t>
  </si>
  <si>
    <t>20 A4</t>
  </si>
  <si>
    <t>21 S2</t>
  </si>
  <si>
    <t>22 B2</t>
  </si>
  <si>
    <t>23 B3</t>
  </si>
  <si>
    <t>30 S1</t>
  </si>
  <si>
    <t>31 B4</t>
  </si>
  <si>
    <t>32 B3</t>
  </si>
  <si>
    <t>33 B1</t>
  </si>
  <si>
    <t>001 A3</t>
  </si>
  <si>
    <t>002 A4</t>
  </si>
  <si>
    <t>003 A5</t>
  </si>
  <si>
    <t>010 A3</t>
  </si>
  <si>
    <t>011 A6</t>
  </si>
  <si>
    <t>012 A7</t>
  </si>
  <si>
    <t>013 A8</t>
  </si>
  <si>
    <t>020 A4</t>
  </si>
  <si>
    <t>021 A9</t>
  </si>
  <si>
    <t>022 A10</t>
  </si>
  <si>
    <t>023 A11</t>
  </si>
  <si>
    <t>030 A5</t>
  </si>
  <si>
    <t>031 B11</t>
  </si>
  <si>
    <t>032 B8</t>
  </si>
  <si>
    <t>033 B5</t>
  </si>
  <si>
    <t>100 A3</t>
  </si>
  <si>
    <t>101 A6</t>
  </si>
  <si>
    <t>102 A9</t>
  </si>
  <si>
    <t>103 B11</t>
  </si>
  <si>
    <t>110 A6</t>
  </si>
  <si>
    <t>111 A2</t>
  </si>
  <si>
    <t>112 A12</t>
  </si>
  <si>
    <t>113 B10</t>
  </si>
  <si>
    <t>120 A7</t>
  </si>
  <si>
    <t>121 A12</t>
  </si>
  <si>
    <t>122 B12</t>
  </si>
  <si>
    <t>123 B9</t>
  </si>
  <si>
    <t>130 A8</t>
  </si>
  <si>
    <t>131 B10</t>
  </si>
  <si>
    <t>132 B7</t>
  </si>
  <si>
    <t>133 B4</t>
  </si>
  <si>
    <t>200 A4</t>
  </si>
  <si>
    <t>201 A7</t>
  </si>
  <si>
    <t>202 A10</t>
  </si>
  <si>
    <t>203 B8</t>
  </si>
  <si>
    <t>210 A9</t>
  </si>
  <si>
    <t>211 A12</t>
  </si>
  <si>
    <t>212 B12</t>
  </si>
  <si>
    <t>213 B7</t>
  </si>
  <si>
    <t>220 A10</t>
  </si>
  <si>
    <t>221 B12</t>
  </si>
  <si>
    <t>222 B2</t>
  </si>
  <si>
    <t>223 B6</t>
  </si>
  <si>
    <t>230 A11</t>
  </si>
  <si>
    <t>231 B9</t>
  </si>
  <si>
    <t>232 B6</t>
  </si>
  <si>
    <t>233 B3</t>
  </si>
  <si>
    <t>300 A5</t>
  </si>
  <si>
    <t>301 A8</t>
  </si>
  <si>
    <t>302 A11</t>
  </si>
  <si>
    <t>303 B5</t>
  </si>
  <si>
    <t>310 B11</t>
  </si>
  <si>
    <t>311 B10</t>
  </si>
  <si>
    <t>312 B9</t>
  </si>
  <si>
    <t>313 B4</t>
  </si>
  <si>
    <t>320 B8</t>
  </si>
  <si>
    <t>321 B7</t>
  </si>
  <si>
    <t>322 B6</t>
  </si>
  <si>
    <t>323 B3</t>
  </si>
  <si>
    <t>330 B5</t>
  </si>
  <si>
    <t>331 B4</t>
  </si>
  <si>
    <t>332 B3</t>
  </si>
  <si>
    <t>333 B1</t>
  </si>
  <si>
    <t>03 A5</t>
  </si>
  <si>
    <t>04 S1</t>
  </si>
  <si>
    <t>12 A6</t>
  </si>
  <si>
    <t>13 S2</t>
  </si>
  <si>
    <t>14 B5</t>
  </si>
  <si>
    <t>21 A6</t>
  </si>
  <si>
    <t>23 B6</t>
  </si>
  <si>
    <t>24 B4</t>
  </si>
  <si>
    <t>30 A5</t>
  </si>
  <si>
    <t>31 S2</t>
  </si>
  <si>
    <t>32 B6</t>
  </si>
  <si>
    <t>33 B2</t>
  </si>
  <si>
    <t>34 B3</t>
  </si>
  <si>
    <t>40 S1</t>
  </si>
  <si>
    <t>41 B5</t>
  </si>
  <si>
    <t>42 B4</t>
  </si>
  <si>
    <t>43 B3</t>
  </si>
  <si>
    <t>44 B1</t>
  </si>
  <si>
    <t>01 A1</t>
  </si>
  <si>
    <t>10 A1</t>
  </si>
  <si>
    <t>012 A1</t>
  </si>
  <si>
    <t>021 B1</t>
  </si>
  <si>
    <t>102 B1</t>
  </si>
  <si>
    <t>120 A1</t>
  </si>
  <si>
    <t>201 A1</t>
  </si>
  <si>
    <t>210 B1</t>
  </si>
  <si>
    <t>0123 A1</t>
  </si>
  <si>
    <t>0132 S1</t>
  </si>
  <si>
    <t>0213 A2</t>
  </si>
  <si>
    <t>0231 S2</t>
  </si>
  <si>
    <t>0312 B2</t>
  </si>
  <si>
    <t>0321 B1</t>
  </si>
  <si>
    <t>1023 S2</t>
  </si>
  <si>
    <t>1032 B1</t>
  </si>
  <si>
    <t>1203 B2</t>
  </si>
  <si>
    <t>1230 A1</t>
  </si>
  <si>
    <t>1302 A2</t>
  </si>
  <si>
    <t>1320 S1</t>
  </si>
  <si>
    <t>2013 S1</t>
  </si>
  <si>
    <t>2031 B2</t>
  </si>
  <si>
    <t>2103 B1</t>
  </si>
  <si>
    <t>2130 A2</t>
  </si>
  <si>
    <t>2301 A1</t>
  </si>
  <si>
    <t>2310 S2</t>
  </si>
  <si>
    <t>3012 A1</t>
  </si>
  <si>
    <t>3021 A2</t>
  </si>
  <si>
    <t>3102 S2</t>
  </si>
  <si>
    <t>3120 B2</t>
  </si>
  <si>
    <t>3201 S1</t>
  </si>
  <si>
    <t>3210 B1</t>
  </si>
  <si>
    <t>01234 A1</t>
  </si>
  <si>
    <t>01243 A2</t>
  </si>
  <si>
    <t>01324 A3</t>
  </si>
  <si>
    <t>01342 A4</t>
  </si>
  <si>
    <t>01423 A5</t>
  </si>
  <si>
    <t>01432 B2</t>
  </si>
  <si>
    <t>02134 A6</t>
  </si>
  <si>
    <t>02143 B5</t>
  </si>
  <si>
    <t>02314 A7</t>
  </si>
  <si>
    <t>02341 A8</t>
  </si>
  <si>
    <t>02413 A9</t>
  </si>
  <si>
    <t>02431 B4</t>
  </si>
  <si>
    <t>03124 A10</t>
  </si>
  <si>
    <t>03142 B9</t>
  </si>
  <si>
    <t>03214 A11</t>
  </si>
  <si>
    <t>03241 A12</t>
  </si>
  <si>
    <t>03412 B12</t>
  </si>
  <si>
    <t>03421 B8</t>
  </si>
  <si>
    <t>04123 B11</t>
  </si>
  <si>
    <t>04132 B10</t>
  </si>
  <si>
    <t>04213 B7</t>
  </si>
  <si>
    <t>04231 B6</t>
  </si>
  <si>
    <t>04312 B3</t>
  </si>
  <si>
    <t>04321 B1</t>
  </si>
  <si>
    <t>10234 A8</t>
  </si>
  <si>
    <t>10243 B4</t>
  </si>
  <si>
    <t>10324 A12</t>
  </si>
  <si>
    <t>10342 B8</t>
  </si>
  <si>
    <t>10423 B6</t>
  </si>
  <si>
    <t>10432 B1</t>
  </si>
  <si>
    <t>12034 B12</t>
  </si>
  <si>
    <t>12043 B3</t>
  </si>
  <si>
    <t>12304 B11</t>
  </si>
  <si>
    <t>12340 A1</t>
  </si>
  <si>
    <t>12403 A10</t>
  </si>
  <si>
    <t>12430 A2</t>
  </si>
  <si>
    <t>13024 A9</t>
  </si>
  <si>
    <t>13042 B7</t>
  </si>
  <si>
    <t>13204 B10</t>
  </si>
  <si>
    <t>13240 A3</t>
  </si>
  <si>
    <t>13402 A6</t>
  </si>
  <si>
    <t>13420 A4</t>
  </si>
  <si>
    <t>14023 A7</t>
  </si>
  <si>
    <t>14032 A11</t>
  </si>
  <si>
    <t>14203 B9</t>
  </si>
  <si>
    <t>14230 A5</t>
  </si>
  <si>
    <t>14302 B5</t>
  </si>
  <si>
    <t>14320 B2</t>
  </si>
  <si>
    <t>20134 A4</t>
  </si>
  <si>
    <t>20143 B2</t>
  </si>
  <si>
    <t>20314 B9</t>
  </si>
  <si>
    <t>20341 B12</t>
  </si>
  <si>
    <t>20413 B10</t>
  </si>
  <si>
    <t>20431 B3</t>
  </si>
  <si>
    <t>21034 B8</t>
  </si>
  <si>
    <t>21043 B1</t>
  </si>
  <si>
    <t>21304 B7</t>
  </si>
  <si>
    <t>21340 A6</t>
  </si>
  <si>
    <t>21403 A11</t>
  </si>
  <si>
    <t>21430 B5</t>
  </si>
  <si>
    <t>23014 A5</t>
  </si>
  <si>
    <t>23041 B11</t>
  </si>
  <si>
    <t>23104 B6</t>
  </si>
  <si>
    <t>23140 A7</t>
  </si>
  <si>
    <t>23401 A1</t>
  </si>
  <si>
    <t>23410 A8</t>
  </si>
  <si>
    <t>24013 A3</t>
  </si>
  <si>
    <t>24031 A10</t>
  </si>
  <si>
    <t>24103 A12</t>
  </si>
  <si>
    <t>24130 A9</t>
  </si>
  <si>
    <t>24301 A2</t>
  </si>
  <si>
    <t>24310 B4</t>
  </si>
  <si>
    <t>30124 A2</t>
  </si>
  <si>
    <t>30142 A5</t>
  </si>
  <si>
    <t>30214 B5</t>
  </si>
  <si>
    <t>30241 A9</t>
  </si>
  <si>
    <t>30412 B11</t>
  </si>
  <si>
    <t>30421 B7</t>
  </si>
  <si>
    <t>31024 B4</t>
  </si>
  <si>
    <t>31042 B6</t>
  </si>
  <si>
    <t>31204 B3</t>
  </si>
  <si>
    <t>31240 A10</t>
  </si>
  <si>
    <t>31402 A7</t>
  </si>
  <si>
    <t>31420 B9</t>
  </si>
  <si>
    <t>32014 B2</t>
  </si>
  <si>
    <t>32041 B10</t>
  </si>
  <si>
    <t>32104 B1</t>
  </si>
  <si>
    <t>32140 A11</t>
  </si>
  <si>
    <t>32401 A3</t>
  </si>
  <si>
    <t>32410 A12</t>
  </si>
  <si>
    <t>34012 A1</t>
  </si>
  <si>
    <t>34021 A6</t>
  </si>
  <si>
    <t>34102 A8</t>
  </si>
  <si>
    <t>34120 B12</t>
  </si>
  <si>
    <t>34201 A4</t>
  </si>
  <si>
    <t>34210 B8</t>
  </si>
  <si>
    <t>40123 A1</t>
  </si>
  <si>
    <t>40132 A3</t>
  </si>
  <si>
    <t>40213 A6</t>
  </si>
  <si>
    <t>40231 A7</t>
  </si>
  <si>
    <t>40312 A10</t>
  </si>
  <si>
    <t>40321 A11</t>
  </si>
  <si>
    <t>41023 A8</t>
  </si>
  <si>
    <t>41032 A12</t>
  </si>
  <si>
    <t>41203 B12</t>
  </si>
  <si>
    <t>41230 B11</t>
  </si>
  <si>
    <t>41302 A9</t>
  </si>
  <si>
    <t>41320 B10</t>
  </si>
  <si>
    <t>42013 A4</t>
  </si>
  <si>
    <t>42031 B9</t>
  </si>
  <si>
    <t>42103 B8</t>
  </si>
  <si>
    <t>42130 B7</t>
  </si>
  <si>
    <t>42301 A5</t>
  </si>
  <si>
    <t>42310 B6</t>
  </si>
  <si>
    <t>43012 A2</t>
  </si>
  <si>
    <t>43021 B5</t>
  </si>
  <si>
    <t>43102 B4</t>
  </si>
  <si>
    <t>43120 B3</t>
  </si>
  <si>
    <t>43201 B2</t>
  </si>
  <si>
    <t>43210 B1</t>
  </si>
  <si>
    <t>Sequence</t>
  </si>
  <si>
    <t>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</si>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</sst>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0"/>
      <name val="Calibri"/>
      <family val="2"/>
      <scheme val="minor"/>
    </font>
    <font>
      <b/>
      <vertAlign val="superscript"/>
      <sz val="11"/>
      <color theme="0"/>
      <name val="Calibri"/>
      <family val="2"/>
      <scheme val="minor"/>
    </font>
    <font>
      <b/>
      <sz val="11"/>
      <color rgb="FFFF0000"/>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11"/>
      <color theme="1"/>
      <name val="Courier New"/>
      <family val="3"/>
    </font>
    <font>
      <sz val="11"/>
      <color theme="0"/>
      <name val="Courier New"/>
      <family val="3"/>
    </font>
    <font>
      <sz val="11"/>
      <name val="Courier New"/>
      <family val="3"/>
    </font>
    <font>
      <sz val="14"/>
      <color theme="1"/>
      <name val="Calibri"/>
      <family val="2"/>
      <scheme val="minor"/>
    </font>
    <font>
      <b/>
      <i/>
      <sz val="14"/>
      <color theme="0"/>
      <name val="Calibri"/>
      <family val="2"/>
      <scheme val="minor"/>
    </font>
    <font>
      <sz val="11"/>
      <color theme="1"/>
      <name val="Calibri"/>
      <family val="2"/>
    </font>
    <font>
      <sz val="11"/>
      <color theme="0"/>
      <name val="Calibri"/>
      <family val="2"/>
    </font>
    <font>
      <sz val="11"/>
      <name val="Calibri"/>
      <family val="2"/>
    </font>
    <font>
      <i/>
      <sz val="11"/>
      <color theme="1"/>
      <name val="Calibri"/>
      <family val="2"/>
      <scheme val="minor"/>
    </font>
    <font>
      <b/>
      <i/>
      <sz val="11"/>
      <color theme="0"/>
      <name val="Calibri"/>
      <family val="2"/>
      <scheme val="minor"/>
    </font>
  </fonts>
  <fills count="6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00FF"/>
        <bgColor indexed="64"/>
      </patternFill>
    </fill>
    <fill>
      <patternFill patternType="solid">
        <fgColor rgb="FF00FFFF"/>
        <bgColor indexed="64"/>
      </patternFill>
    </fill>
    <fill>
      <patternFill patternType="solid">
        <fgColor rgb="FFFF00FF"/>
        <bgColor indexed="64"/>
      </patternFill>
    </fill>
    <fill>
      <patternFill patternType="solid">
        <fgColor rgb="FFA9A9A9"/>
        <bgColor indexed="64"/>
      </patternFill>
    </fill>
    <fill>
      <patternFill patternType="solid">
        <fgColor rgb="FF556B2F"/>
        <bgColor indexed="64"/>
      </patternFill>
    </fill>
    <fill>
      <patternFill patternType="solid">
        <fgColor rgb="FF483D8B"/>
        <bgColor indexed="64"/>
      </patternFill>
    </fill>
    <fill>
      <patternFill patternType="solid">
        <fgColor rgb="FF9ACD32"/>
        <bgColor indexed="64"/>
      </patternFill>
    </fill>
    <fill>
      <patternFill patternType="solid">
        <fgColor rgb="FF00008B"/>
        <bgColor indexed="64"/>
      </patternFill>
    </fill>
    <fill>
      <patternFill patternType="solid">
        <fgColor rgb="FF7CFC00"/>
        <bgColor indexed="64"/>
      </patternFill>
    </fill>
    <fill>
      <patternFill patternType="solid">
        <fgColor rgb="FF00FF7F"/>
        <bgColor indexed="64"/>
      </patternFill>
    </fill>
    <fill>
      <patternFill patternType="solid">
        <fgColor rgb="FF00BFFF"/>
        <bgColor indexed="64"/>
      </patternFill>
    </fill>
    <fill>
      <patternFill patternType="solid">
        <fgColor rgb="FF1E90FF"/>
        <bgColor indexed="64"/>
      </patternFill>
    </fill>
    <fill>
      <patternFill patternType="solid">
        <fgColor rgb="FFFF1493"/>
        <bgColor indexed="64"/>
      </patternFill>
    </fill>
    <fill>
      <patternFill patternType="solid">
        <fgColor rgb="FFFFA07A"/>
        <bgColor indexed="64"/>
      </patternFill>
    </fill>
    <fill>
      <patternFill patternType="solid">
        <fgColor rgb="FF2F4F4F"/>
        <bgColor indexed="64"/>
      </patternFill>
    </fill>
    <fill>
      <patternFill patternType="solid">
        <fgColor rgb="FFA52A2A"/>
        <bgColor indexed="64"/>
      </patternFill>
    </fill>
    <fill>
      <patternFill patternType="solid">
        <fgColor rgb="FF3CB371"/>
        <bgColor indexed="64"/>
      </patternFill>
    </fill>
    <fill>
      <patternFill patternType="solid">
        <fgColor rgb="FF8B008B"/>
        <bgColor indexed="64"/>
      </patternFill>
    </fill>
    <fill>
      <patternFill patternType="solid">
        <fgColor rgb="FFFFA500"/>
        <bgColor indexed="64"/>
      </patternFill>
    </fill>
    <fill>
      <patternFill patternType="solid">
        <fgColor rgb="FFDB7093"/>
        <bgColor indexed="64"/>
      </patternFill>
    </fill>
    <fill>
      <patternFill patternType="solid">
        <fgColor rgb="FFF0E68C"/>
        <bgColor indexed="64"/>
      </patternFill>
    </fill>
    <fill>
      <patternFill patternType="solid">
        <fgColor rgb="FFEE82EE"/>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4">
    <border>
      <left/>
      <right/>
      <top/>
      <bottom/>
      <diagonal/>
    </border>
    <border>
      <left/>
      <right style="thin">
        <color theme="0"/>
      </right>
      <top/>
      <bottom style="thick">
        <color theme="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theme="0"/>
      </right>
      <top/>
      <bottom/>
      <diagonal/>
    </border>
    <border>
      <left style="medium">
        <color indexed="64"/>
      </left>
      <right style="thin">
        <color theme="0"/>
      </right>
      <top/>
      <bottom/>
      <diagonal/>
    </border>
    <border>
      <left style="thin">
        <color theme="0"/>
      </left>
      <right/>
      <top style="thin">
        <color theme="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theme="0"/>
      </left>
      <right/>
      <top style="thin">
        <color theme="0"/>
      </top>
      <bottom style="medium">
        <color indexed="64"/>
      </bottom>
      <diagonal/>
    </border>
    <border>
      <left style="medium">
        <color indexed="64"/>
      </left>
      <right/>
      <top/>
      <bottom style="medium">
        <color indexed="64"/>
      </bottom>
      <diagonal/>
    </border>
    <border>
      <left style="thin">
        <color theme="0"/>
      </left>
      <right/>
      <top style="thick">
        <color theme="0"/>
      </top>
      <bottom/>
      <diagonal/>
    </border>
    <border>
      <left style="thin">
        <color theme="0"/>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style="thick">
        <color theme="0"/>
      </top>
      <bottom/>
      <diagonal/>
    </border>
    <border>
      <left style="medium">
        <color indexed="64"/>
      </left>
      <right style="thin">
        <color theme="0"/>
      </right>
      <top/>
      <bottom style="thick">
        <color theme="0"/>
      </bottom>
      <diagonal/>
    </border>
    <border>
      <left style="thin">
        <color theme="0"/>
      </left>
      <right/>
      <top style="medium">
        <color indexed="64"/>
      </top>
      <bottom/>
      <diagonal/>
    </border>
    <border>
      <left/>
      <right/>
      <top style="thin">
        <color theme="0"/>
      </top>
      <bottom/>
      <diagonal/>
    </border>
  </borders>
  <cellStyleXfs count="42">
    <xf numFmtId="0" fontId="0" fillId="0" borderId="0"/>
    <xf numFmtId="0" fontId="9" fillId="0" borderId="0" applyNumberFormat="0" applyFill="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8" borderId="8" applyNumberFormat="0" applyAlignment="0" applyProtection="0"/>
    <xf numFmtId="0" fontId="18" fillId="8" borderId="7" applyNumberFormat="0" applyAlignment="0" applyProtection="0"/>
    <xf numFmtId="0" fontId="19" fillId="0" borderId="9" applyNumberFormat="0" applyFill="0" applyAlignment="0" applyProtection="0"/>
    <xf numFmtId="0" fontId="1" fillId="9" borderId="10" applyNumberFormat="0" applyAlignment="0" applyProtection="0"/>
    <xf numFmtId="0" fontId="20" fillId="0" borderId="0" applyNumberFormat="0" applyFill="0" applyBorder="0" applyAlignment="0" applyProtection="0"/>
    <xf numFmtId="0" fontId="8" fillId="10" borderId="11" applyNumberFormat="0" applyFont="0" applyAlignment="0" applyProtection="0"/>
    <xf numFmtId="0" fontId="21" fillId="0" borderId="0" applyNumberFormat="0" applyFill="0" applyBorder="0" applyAlignment="0" applyProtection="0"/>
    <xf numFmtId="0" fontId="5" fillId="0" borderId="12" applyNumberFormat="0" applyFill="0" applyAlignment="0" applyProtection="0"/>
    <xf numFmtId="0" fontId="4"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4" fillId="34" borderId="0" applyNumberFormat="0" applyBorder="0" applyAlignment="0" applyProtection="0"/>
  </cellStyleXfs>
  <cellXfs count="380">
    <xf numFmtId="0" fontId="0" fillId="0" borderId="0" xfId="0"/>
    <xf numFmtId="0" fontId="0" fillId="0" borderId="0" xfId="0" applyBorder="1"/>
    <xf numFmtId="0" fontId="0" fillId="0" borderId="0" xfId="0" applyFill="1" applyBorder="1"/>
    <xf numFmtId="0" fontId="0" fillId="0" borderId="0" xfId="0" applyFill="1"/>
    <xf numFmtId="0" fontId="0" fillId="0" borderId="0" xfId="0" applyNumberFormat="1" applyBorder="1"/>
    <xf numFmtId="0" fontId="3" fillId="0" borderId="0" xfId="0" applyFont="1" applyFill="1" applyBorder="1"/>
    <xf numFmtId="0" fontId="0" fillId="0" borderId="2" xfId="0" applyBorder="1"/>
    <xf numFmtId="0" fontId="0" fillId="0" borderId="2" xfId="0" applyNumberFormat="1" applyBorder="1"/>
    <xf numFmtId="0" fontId="6" fillId="0" borderId="0" xfId="0" applyFont="1" applyFill="1"/>
    <xf numFmtId="0" fontId="0" fillId="0" borderId="0" xfId="0" applyBorder="1"/>
    <xf numFmtId="0" fontId="0" fillId="0" borderId="0" xfId="0" applyNumberFormat="1" applyFont="1" applyFill="1" applyBorder="1"/>
    <xf numFmtId="0" fontId="0" fillId="0" borderId="0" xfId="0" applyNumberFormat="1" applyFill="1" applyBorder="1"/>
    <xf numFmtId="0" fontId="0" fillId="0" borderId="0" xfId="0" applyNumberFormat="1" applyBorder="1"/>
    <xf numFmtId="0" fontId="0" fillId="0" borderId="0" xfId="0" applyFill="1" applyAlignment="1">
      <alignment horizontal="right"/>
    </xf>
    <xf numFmtId="0" fontId="6" fillId="0" borderId="0" xfId="0" applyFont="1" applyFill="1" applyBorder="1"/>
    <xf numFmtId="0" fontId="0" fillId="2" borderId="0" xfId="0" applyNumberFormat="1" applyFill="1" applyBorder="1"/>
    <xf numFmtId="0" fontId="0" fillId="0" borderId="0" xfId="0" applyFill="1"/>
    <xf numFmtId="0" fontId="0" fillId="0" borderId="0" xfId="0"/>
    <xf numFmtId="0" fontId="6" fillId="0" borderId="0" xfId="0" applyNumberFormat="1" applyFont="1" applyFill="1" applyBorder="1"/>
    <xf numFmtId="0" fontId="6" fillId="0" borderId="0" xfId="0" applyFont="1" applyBorder="1"/>
    <xf numFmtId="0" fontId="6" fillId="2" borderId="0" xfId="0" applyNumberFormat="1" applyFont="1" applyFill="1" applyBorder="1"/>
    <xf numFmtId="0" fontId="6" fillId="0" borderId="2" xfId="0" applyFont="1" applyFill="1" applyBorder="1"/>
    <xf numFmtId="0" fontId="4" fillId="35" borderId="0" xfId="0" applyFont="1" applyFill="1" applyBorder="1"/>
    <xf numFmtId="0" fontId="4" fillId="35" borderId="0" xfId="0" applyNumberFormat="1" applyFont="1" applyFill="1" applyBorder="1"/>
    <xf numFmtId="0" fontId="0" fillId="0" borderId="0" xfId="0" applyAlignment="1">
      <alignment horizontal="right"/>
    </xf>
    <xf numFmtId="0" fontId="7" fillId="0" borderId="2" xfId="0" applyFont="1" applyFill="1" applyBorder="1" applyAlignment="1">
      <alignment horizontal="right"/>
    </xf>
    <xf numFmtId="0" fontId="3" fillId="0" borderId="0" xfId="0" applyFont="1" applyFill="1" applyBorder="1" applyAlignment="1">
      <alignment horizontal="right"/>
    </xf>
    <xf numFmtId="0" fontId="7" fillId="0" borderId="2" xfId="0" applyFont="1" applyBorder="1" applyAlignment="1">
      <alignment horizontal="right"/>
    </xf>
    <xf numFmtId="0" fontId="1" fillId="35" borderId="2" xfId="0" applyFont="1" applyFill="1" applyBorder="1" applyAlignment="1">
      <alignment horizontal="right"/>
    </xf>
    <xf numFmtId="0" fontId="0" fillId="0" borderId="0" xfId="0" applyFont="1"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37" borderId="0" xfId="0" applyFill="1" applyBorder="1"/>
    <xf numFmtId="0" fontId="0" fillId="37" borderId="0" xfId="0" applyNumberFormat="1" applyFill="1" applyBorder="1"/>
    <xf numFmtId="0" fontId="4" fillId="36" borderId="0" xfId="0" applyFont="1" applyFill="1" applyBorder="1"/>
    <xf numFmtId="0" fontId="4" fillId="36" borderId="0" xfId="0" applyNumberFormat="1" applyFont="1" applyFill="1" applyBorder="1"/>
    <xf numFmtId="0" fontId="4" fillId="51" borderId="0" xfId="0" applyFont="1" applyFill="1" applyBorder="1"/>
    <xf numFmtId="0" fontId="4" fillId="51" borderId="0" xfId="0" applyNumberFormat="1" applyFont="1" applyFill="1" applyBorder="1"/>
    <xf numFmtId="0" fontId="4" fillId="47" borderId="0" xfId="0" applyFont="1" applyFill="1" applyBorder="1"/>
    <xf numFmtId="0" fontId="4" fillId="47" borderId="0" xfId="0" applyNumberFormat="1" applyFont="1" applyFill="1" applyBorder="1"/>
    <xf numFmtId="0" fontId="6" fillId="45" borderId="0" xfId="0" applyFont="1" applyFill="1" applyBorder="1"/>
    <xf numFmtId="0" fontId="6" fillId="45" borderId="0" xfId="0" applyNumberFormat="1" applyFont="1" applyFill="1" applyBorder="1"/>
    <xf numFmtId="0" fontId="6" fillId="49" borderId="0" xfId="0" applyFont="1" applyFill="1" applyBorder="1"/>
    <xf numFmtId="0" fontId="6" fillId="49" borderId="0" xfId="0" applyNumberFormat="1" applyFont="1" applyFill="1" applyBorder="1"/>
    <xf numFmtId="0" fontId="4" fillId="40" borderId="0" xfId="0" applyFont="1" applyFill="1" applyBorder="1"/>
    <xf numFmtId="0" fontId="4" fillId="40" borderId="0" xfId="0" applyNumberFormat="1" applyFont="1" applyFill="1" applyBorder="1"/>
    <xf numFmtId="0" fontId="6" fillId="56" borderId="0" xfId="0" applyFont="1" applyFill="1" applyBorder="1"/>
    <xf numFmtId="0" fontId="6" fillId="56" borderId="0" xfId="0" applyNumberFormat="1" applyFont="1" applyFill="1" applyBorder="1"/>
    <xf numFmtId="0" fontId="4" fillId="3" borderId="0" xfId="0" applyFont="1" applyFill="1" applyBorder="1"/>
    <xf numFmtId="0" fontId="4" fillId="3" borderId="0" xfId="0" applyNumberFormat="1" applyFont="1" applyFill="1" applyBorder="1"/>
    <xf numFmtId="0" fontId="6" fillId="37" borderId="0" xfId="0" applyFont="1" applyFill="1" applyBorder="1"/>
    <xf numFmtId="0" fontId="6" fillId="37" borderId="0" xfId="0" applyNumberFormat="1" applyFont="1" applyFill="1" applyBorder="1"/>
    <xf numFmtId="0" fontId="6" fillId="37" borderId="2" xfId="0" applyFont="1" applyFill="1" applyBorder="1"/>
    <xf numFmtId="0" fontId="6" fillId="37" borderId="2" xfId="0" applyNumberFormat="1" applyFont="1" applyFill="1" applyBorder="1"/>
    <xf numFmtId="0" fontId="4" fillId="53" borderId="0" xfId="0" applyFont="1" applyFill="1" applyBorder="1"/>
    <xf numFmtId="0" fontId="4" fillId="53" borderId="0" xfId="0" applyNumberFormat="1" applyFont="1" applyFill="1" applyBorder="1"/>
    <xf numFmtId="0" fontId="4" fillId="38" borderId="0" xfId="0" applyFont="1" applyFill="1" applyBorder="1"/>
    <xf numFmtId="0" fontId="4" fillId="38" borderId="0" xfId="0" applyNumberFormat="1" applyFont="1" applyFill="1" applyBorder="1"/>
    <xf numFmtId="0" fontId="4" fillId="48" borderId="0" xfId="0" applyFont="1" applyFill="1" applyBorder="1"/>
    <xf numFmtId="0" fontId="4" fillId="48" borderId="0" xfId="0" applyNumberFormat="1" applyFont="1" applyFill="1" applyBorder="1"/>
    <xf numFmtId="0" fontId="6" fillId="46" borderId="0" xfId="0" applyFont="1" applyFill="1" applyBorder="1"/>
    <xf numFmtId="0" fontId="6" fillId="46" borderId="0" xfId="0" applyNumberFormat="1" applyFont="1" applyFill="1" applyBorder="1"/>
    <xf numFmtId="0" fontId="4" fillId="50" borderId="0" xfId="0" applyFont="1" applyFill="1" applyBorder="1"/>
    <xf numFmtId="0" fontId="4" fillId="50" borderId="0" xfId="0" applyNumberFormat="1" applyFont="1" applyFill="1" applyBorder="1"/>
    <xf numFmtId="0" fontId="6" fillId="57" borderId="0" xfId="0" applyFont="1" applyFill="1" applyBorder="1"/>
    <xf numFmtId="0" fontId="6" fillId="57" borderId="0" xfId="0" applyNumberFormat="1" applyFont="1" applyFill="1" applyBorder="1"/>
    <xf numFmtId="0" fontId="4" fillId="0" borderId="0" xfId="0" applyFont="1" applyFill="1"/>
    <xf numFmtId="0" fontId="6" fillId="44" borderId="0" xfId="0" applyFont="1" applyFill="1" applyBorder="1"/>
    <xf numFmtId="0" fontId="6" fillId="44" borderId="0" xfId="0" applyNumberFormat="1" applyFont="1" applyFill="1" applyBorder="1"/>
    <xf numFmtId="0" fontId="4" fillId="43" borderId="0" xfId="0" applyFont="1" applyFill="1" applyBorder="1"/>
    <xf numFmtId="0" fontId="4" fillId="43" borderId="0" xfId="0" applyNumberFormat="1" applyFont="1" applyFill="1" applyBorder="1"/>
    <xf numFmtId="0" fontId="6" fillId="54" borderId="0" xfId="0" applyFont="1" applyFill="1" applyBorder="1"/>
    <xf numFmtId="0" fontId="6" fillId="54" borderId="0" xfId="0" applyNumberFormat="1" applyFont="1" applyFill="1" applyBorder="1"/>
    <xf numFmtId="0" fontId="4" fillId="41" borderId="0" xfId="0" applyFont="1" applyFill="1" applyBorder="1"/>
    <xf numFmtId="0" fontId="4" fillId="41" borderId="0" xfId="0" applyNumberFormat="1" applyFont="1" applyFill="1" applyBorder="1"/>
    <xf numFmtId="0" fontId="6" fillId="42" borderId="0" xfId="0" applyFont="1" applyFill="1" applyBorder="1"/>
    <xf numFmtId="0" fontId="6" fillId="42" borderId="0" xfId="0" applyNumberFormat="1" applyFont="1" applyFill="1" applyBorder="1"/>
    <xf numFmtId="0" fontId="6" fillId="39" borderId="0" xfId="0" applyFont="1" applyFill="1" applyBorder="1"/>
    <xf numFmtId="0" fontId="6" fillId="39" borderId="0" xfId="0" applyNumberFormat="1" applyFont="1" applyFill="1" applyBorder="1"/>
    <xf numFmtId="0" fontId="0" fillId="44" borderId="0" xfId="0" applyFill="1" applyBorder="1"/>
    <xf numFmtId="0" fontId="0" fillId="44" borderId="0" xfId="0" applyNumberFormat="1" applyFill="1" applyBorder="1"/>
    <xf numFmtId="0" fontId="0" fillId="49" borderId="0" xfId="0" applyFill="1" applyBorder="1"/>
    <xf numFmtId="0" fontId="0" fillId="49" borderId="0" xfId="0" applyNumberFormat="1" applyFill="1" applyBorder="1"/>
    <xf numFmtId="0" fontId="23" fillId="2" borderId="0" xfId="0" applyFont="1" applyFill="1"/>
    <xf numFmtId="0" fontId="24" fillId="51" borderId="0" xfId="0" applyFont="1" applyFill="1"/>
    <xf numFmtId="0" fontId="24" fillId="47" borderId="0" xfId="0" applyFont="1" applyFill="1"/>
    <xf numFmtId="0" fontId="23" fillId="44" borderId="0" xfId="0" applyFont="1" applyFill="1"/>
    <xf numFmtId="0" fontId="23" fillId="49" borderId="0" xfId="0" applyFont="1" applyFill="1"/>
    <xf numFmtId="0" fontId="24" fillId="40" borderId="0" xfId="0" applyFont="1" applyFill="1"/>
    <xf numFmtId="0" fontId="24" fillId="39" borderId="0" xfId="0" applyFont="1" applyFill="1"/>
    <xf numFmtId="0" fontId="24" fillId="3" borderId="0" xfId="0" applyFont="1" applyFill="1"/>
    <xf numFmtId="0" fontId="23" fillId="37" borderId="0" xfId="0" applyFont="1" applyFill="1"/>
    <xf numFmtId="0" fontId="24" fillId="52" borderId="0" xfId="0" applyFont="1" applyFill="1"/>
    <xf numFmtId="0" fontId="24" fillId="53" borderId="0" xfId="0" applyFont="1" applyFill="1"/>
    <xf numFmtId="0" fontId="24" fillId="38" borderId="0" xfId="0" applyFont="1" applyFill="1"/>
    <xf numFmtId="0" fontId="23" fillId="45" borderId="0" xfId="0" applyFont="1" applyFill="1"/>
    <xf numFmtId="0" fontId="24" fillId="36" borderId="0" xfId="0" applyFont="1" applyFill="1"/>
    <xf numFmtId="0" fontId="24" fillId="48" borderId="0" xfId="0" applyFont="1" applyFill="1"/>
    <xf numFmtId="0" fontId="23" fillId="46" borderId="0" xfId="0" applyFont="1" applyFill="1"/>
    <xf numFmtId="0" fontId="23" fillId="56" borderId="0" xfId="0" applyFont="1" applyFill="1"/>
    <xf numFmtId="0" fontId="24" fillId="50" borderId="0" xfId="0" applyFont="1" applyFill="1"/>
    <xf numFmtId="0" fontId="24" fillId="43" borderId="0" xfId="0" applyFont="1" applyFill="1"/>
    <xf numFmtId="0" fontId="23" fillId="54" borderId="0" xfId="0" applyFont="1" applyFill="1"/>
    <xf numFmtId="0" fontId="24" fillId="41" borderId="0" xfId="0" applyFont="1" applyFill="1"/>
    <xf numFmtId="0" fontId="23" fillId="42" borderId="0" xfId="0" applyFont="1" applyFill="1"/>
    <xf numFmtId="0" fontId="0" fillId="56" borderId="0" xfId="0" applyNumberFormat="1" applyFill="1" applyBorder="1"/>
    <xf numFmtId="0" fontId="0" fillId="56" borderId="0" xfId="0" applyFill="1" applyBorder="1"/>
    <xf numFmtId="0" fontId="0" fillId="0" borderId="23" xfId="0" applyBorder="1"/>
    <xf numFmtId="0" fontId="0" fillId="0" borderId="24" xfId="0" applyBorder="1"/>
    <xf numFmtId="0" fontId="0" fillId="0" borderId="25" xfId="0" applyFill="1" applyBorder="1"/>
    <xf numFmtId="0" fontId="0" fillId="0" borderId="26" xfId="0" applyFill="1" applyBorder="1"/>
    <xf numFmtId="0" fontId="0" fillId="0" borderId="26" xfId="0" applyBorder="1"/>
    <xf numFmtId="0" fontId="4" fillId="51" borderId="2" xfId="0" applyNumberFormat="1" applyFont="1" applyFill="1" applyBorder="1"/>
    <xf numFmtId="0" fontId="0" fillId="0" borderId="0" xfId="0" applyAlignment="1">
      <alignment vertical="top" textRotation="180"/>
    </xf>
    <xf numFmtId="0" fontId="0" fillId="0" borderId="0" xfId="0" applyBorder="1" applyAlignment="1">
      <alignment vertical="top" textRotation="180"/>
    </xf>
    <xf numFmtId="0" fontId="1" fillId="0" borderId="1" xfId="0" applyFont="1" applyFill="1" applyBorder="1" applyAlignment="1">
      <alignment vertical="top"/>
    </xf>
    <xf numFmtId="0" fontId="1" fillId="0" borderId="0" xfId="0" applyFont="1" applyFill="1" applyBorder="1" applyAlignment="1">
      <alignment vertical="top" textRotation="180" wrapText="1"/>
    </xf>
    <xf numFmtId="0" fontId="4" fillId="0" borderId="0" xfId="0" applyFont="1" applyFill="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Fill="1" applyBorder="1"/>
    <xf numFmtId="0" fontId="0" fillId="0" borderId="3"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Fill="1" applyBorder="1"/>
    <xf numFmtId="0" fontId="0" fillId="2" borderId="0" xfId="0" applyFill="1" applyBorder="1"/>
    <xf numFmtId="0" fontId="0" fillId="2" borderId="0" xfId="0" applyNumberFormat="1" applyFill="1" applyBorder="1"/>
    <xf numFmtId="0" fontId="0" fillId="0" borderId="0" xfId="0" applyFill="1" applyBorder="1"/>
    <xf numFmtId="0" fontId="0" fillId="0" borderId="0" xfId="0" applyBorder="1"/>
    <xf numFmtId="0" fontId="0" fillId="0" borderId="2" xfId="0" applyFill="1" applyBorder="1"/>
    <xf numFmtId="0" fontId="0" fillId="0" borderId="2" xfId="0" applyNumberFormat="1" applyFill="1" applyBorder="1"/>
    <xf numFmtId="0" fontId="0" fillId="57" borderId="0" xfId="0" applyNumberFormat="1" applyFill="1" applyBorder="1"/>
    <xf numFmtId="0" fontId="0" fillId="57" borderId="0" xfId="0" applyFill="1" applyBorder="1"/>
    <xf numFmtId="0" fontId="0" fillId="46" borderId="0" xfId="0" applyNumberFormat="1" applyFill="1" applyBorder="1"/>
    <xf numFmtId="0" fontId="0" fillId="46" borderId="0" xfId="0" applyFill="1" applyBorder="1"/>
    <xf numFmtId="0" fontId="0" fillId="45" borderId="0" xfId="0" applyNumberFormat="1" applyFill="1" applyBorder="1"/>
    <xf numFmtId="0" fontId="0" fillId="45" borderId="0" xfId="0" applyFill="1" applyBorder="1"/>
    <xf numFmtId="0" fontId="6" fillId="2" borderId="0" xfId="0" applyFont="1" applyFill="1" applyBorder="1"/>
    <xf numFmtId="0" fontId="6" fillId="2" borderId="0" xfId="0" applyFont="1" applyFill="1"/>
    <xf numFmtId="0" fontId="4" fillId="43" borderId="0" xfId="0" applyFont="1" applyFill="1"/>
    <xf numFmtId="0" fontId="4" fillId="51" borderId="2" xfId="0" applyFont="1" applyFill="1" applyBorder="1"/>
    <xf numFmtId="0" fontId="4" fillId="47" borderId="0" xfId="0" applyFont="1" applyFill="1"/>
    <xf numFmtId="0" fontId="4" fillId="3" borderId="0" xfId="0" applyFont="1" applyFill="1"/>
    <xf numFmtId="0" fontId="0" fillId="0" borderId="0" xfId="0" applyAlignment="1">
      <alignment vertical="center"/>
    </xf>
    <xf numFmtId="0" fontId="24" fillId="3" borderId="0" xfId="0" applyFont="1" applyFill="1" applyAlignment="1">
      <alignment vertical="center"/>
    </xf>
    <xf numFmtId="0" fontId="23" fillId="2" borderId="0" xfId="0" applyFont="1" applyFill="1" applyAlignment="1">
      <alignment vertical="center"/>
    </xf>
    <xf numFmtId="0" fontId="23" fillId="0" borderId="0" xfId="0" applyFont="1" applyAlignment="1">
      <alignment vertical="center"/>
    </xf>
    <xf numFmtId="0" fontId="23" fillId="37" borderId="0" xfId="0" applyFont="1" applyFill="1" applyAlignment="1">
      <alignment vertical="center"/>
    </xf>
    <xf numFmtId="0" fontId="23" fillId="49" borderId="0" xfId="0" applyFont="1" applyFill="1" applyAlignment="1">
      <alignment vertical="center"/>
    </xf>
    <xf numFmtId="0" fontId="24" fillId="38" borderId="0" xfId="0" applyFont="1" applyFill="1" applyAlignment="1">
      <alignment vertical="center"/>
    </xf>
    <xf numFmtId="0" fontId="24" fillId="53" borderId="0" xfId="0" applyFont="1" applyFill="1" applyAlignment="1">
      <alignment vertical="center"/>
    </xf>
    <xf numFmtId="0" fontId="24" fillId="36" borderId="0" xfId="0" applyFont="1" applyFill="1" applyAlignment="1">
      <alignment vertical="center"/>
    </xf>
    <xf numFmtId="0" fontId="24" fillId="47" borderId="0" xfId="0" applyFont="1" applyFill="1" applyAlignment="1">
      <alignment vertical="center"/>
    </xf>
    <xf numFmtId="0" fontId="4" fillId="3" borderId="14" xfId="0" applyNumberFormat="1" applyFont="1" applyFill="1" applyBorder="1"/>
    <xf numFmtId="0" fontId="4" fillId="3" borderId="13" xfId="0" applyNumberFormat="1" applyFont="1" applyFill="1" applyBorder="1"/>
    <xf numFmtId="0" fontId="4" fillId="3" borderId="2" xfId="0" applyNumberFormat="1" applyFont="1" applyFill="1" applyBorder="1"/>
    <xf numFmtId="0" fontId="0" fillId="44" borderId="0" xfId="0" applyNumberFormat="1" applyFont="1" applyFill="1" applyBorder="1"/>
    <xf numFmtId="0" fontId="0" fillId="2" borderId="0" xfId="0" applyNumberFormat="1" applyFont="1" applyFill="1" applyBorder="1"/>
    <xf numFmtId="0" fontId="24" fillId="43" borderId="0" xfId="0" applyFont="1" applyFill="1" applyAlignment="1">
      <alignment vertical="center"/>
    </xf>
    <xf numFmtId="0" fontId="0" fillId="37" borderId="0" xfId="0" applyNumberFormat="1" applyFont="1" applyFill="1" applyBorder="1"/>
    <xf numFmtId="0" fontId="23" fillId="0" borderId="0" xfId="0" applyFont="1" applyFill="1" applyAlignment="1">
      <alignment vertical="center"/>
    </xf>
    <xf numFmtId="0" fontId="4" fillId="3" borderId="2" xfId="0" applyFont="1" applyFill="1" applyBorder="1"/>
    <xf numFmtId="0" fontId="0" fillId="37" borderId="0" xfId="0" applyFont="1" applyFill="1" applyBorder="1"/>
    <xf numFmtId="0" fontId="0" fillId="37" borderId="0" xfId="0" applyFont="1" applyFill="1"/>
    <xf numFmtId="0" fontId="0" fillId="44" borderId="0" xfId="0" applyFont="1" applyFill="1" applyBorder="1"/>
    <xf numFmtId="0" fontId="0" fillId="49" borderId="0" xfId="0" applyFont="1" applyFill="1" applyBorder="1"/>
    <xf numFmtId="0" fontId="0" fillId="49" borderId="0" xfId="0" applyNumberFormat="1" applyFont="1" applyFill="1" applyBorder="1"/>
    <xf numFmtId="0" fontId="4" fillId="53" borderId="0" xfId="0" applyFont="1" applyFill="1"/>
    <xf numFmtId="0" fontId="4" fillId="36" borderId="0" xfId="0" applyFont="1" applyFill="1"/>
    <xf numFmtId="0" fontId="23" fillId="39" borderId="0" xfId="0" applyFont="1" applyFill="1"/>
    <xf numFmtId="0" fontId="25" fillId="55" borderId="0" xfId="0" applyFont="1" applyFill="1"/>
    <xf numFmtId="0" fontId="25" fillId="57" borderId="0" xfId="0" applyFont="1" applyFill="1"/>
    <xf numFmtId="0" fontId="25" fillId="52" borderId="0" xfId="0" applyFont="1" applyFill="1"/>
    <xf numFmtId="0" fontId="6" fillId="52" borderId="0" xfId="0" applyNumberFormat="1" applyFont="1" applyFill="1" applyBorder="1"/>
    <xf numFmtId="0" fontId="6" fillId="52" borderId="0" xfId="0" applyFont="1" applyFill="1" applyBorder="1"/>
    <xf numFmtId="0" fontId="6" fillId="55" borderId="0" xfId="0" applyNumberFormat="1" applyFont="1" applyFill="1" applyBorder="1"/>
    <xf numFmtId="0" fontId="6" fillId="55" borderId="0" xfId="0" applyFont="1" applyFill="1" applyBorder="1"/>
    <xf numFmtId="0" fontId="25" fillId="52" borderId="0" xfId="0" applyFont="1" applyFill="1" applyAlignment="1">
      <alignment vertical="center"/>
    </xf>
    <xf numFmtId="0" fontId="25" fillId="39" borderId="0" xfId="0" applyFont="1" applyFill="1"/>
    <xf numFmtId="0" fontId="0" fillId="39" borderId="0" xfId="0" applyFont="1" applyFill="1" applyBorder="1"/>
    <xf numFmtId="0" fontId="0" fillId="39" borderId="0" xfId="0" applyNumberFormat="1" applyFont="1" applyFill="1" applyBorder="1"/>
    <xf numFmtId="0" fontId="0" fillId="52" borderId="0" xfId="0" applyFont="1" applyFill="1" applyBorder="1"/>
    <xf numFmtId="0" fontId="0" fillId="52" borderId="0" xfId="0" applyNumberFormat="1" applyFont="1" applyFill="1" applyBorder="1"/>
    <xf numFmtId="0" fontId="0" fillId="46" borderId="0" xfId="0" applyFont="1" applyFill="1" applyBorder="1"/>
    <xf numFmtId="0" fontId="0" fillId="46" borderId="0" xfId="0" applyNumberFormat="1" applyFont="1" applyFill="1" applyBorder="1"/>
    <xf numFmtId="0" fontId="0" fillId="2" borderId="2" xfId="0" applyNumberFormat="1" applyFont="1" applyFill="1" applyBorder="1"/>
    <xf numFmtId="0" fontId="0" fillId="0" borderId="38" xfId="0" applyBorder="1"/>
    <xf numFmtId="0" fontId="0" fillId="0" borderId="39" xfId="0" applyBorder="1"/>
    <xf numFmtId="0" fontId="6" fillId="0" borderId="2" xfId="0" applyNumberFormat="1" applyFont="1" applyFill="1" applyBorder="1"/>
    <xf numFmtId="0" fontId="0" fillId="0" borderId="0" xfId="0" applyNumberFormat="1" applyFill="1"/>
    <xf numFmtId="0" fontId="6" fillId="0" borderId="0" xfId="0" applyNumberFormat="1" applyFont="1" applyFill="1"/>
    <xf numFmtId="0" fontId="26" fillId="0" borderId="0" xfId="0" applyFont="1"/>
    <xf numFmtId="0" fontId="26" fillId="0" borderId="0" xfId="0" applyFont="1" applyAlignment="1">
      <alignment horizontal="left"/>
    </xf>
    <xf numFmtId="0" fontId="4" fillId="53" borderId="2" xfId="0" applyNumberFormat="1" applyFont="1" applyFill="1" applyBorder="1"/>
    <xf numFmtId="0" fontId="4" fillId="53" borderId="2" xfId="0" applyFont="1" applyFill="1" applyBorder="1"/>
    <xf numFmtId="0" fontId="26" fillId="0" borderId="0" xfId="0" applyFont="1" applyBorder="1"/>
    <xf numFmtId="0" fontId="26" fillId="0" borderId="0" xfId="0" applyFont="1" applyBorder="1" applyAlignment="1">
      <alignment horizontal="left"/>
    </xf>
    <xf numFmtId="0" fontId="27" fillId="0" borderId="1" xfId="0" applyFont="1" applyFill="1" applyBorder="1" applyAlignment="1">
      <alignment vertical="top"/>
    </xf>
    <xf numFmtId="0" fontId="24" fillId="0" borderId="0" xfId="0" applyFont="1" applyFill="1"/>
    <xf numFmtId="0" fontId="28" fillId="2" borderId="0" xfId="0" applyFont="1" applyFill="1"/>
    <xf numFmtId="0" fontId="29" fillId="43" borderId="0" xfId="0" applyFont="1" applyFill="1"/>
    <xf numFmtId="0" fontId="28" fillId="0" borderId="0" xfId="0" applyFont="1"/>
    <xf numFmtId="0" fontId="29" fillId="51" borderId="0" xfId="0" applyFont="1" applyFill="1"/>
    <xf numFmtId="0" fontId="29" fillId="3" borderId="0" xfId="0" applyFont="1" applyFill="1"/>
    <xf numFmtId="0" fontId="29" fillId="47" borderId="0" xfId="0" applyFont="1" applyFill="1"/>
    <xf numFmtId="0" fontId="28" fillId="37" borderId="0" xfId="0" applyFont="1" applyFill="1"/>
    <xf numFmtId="0" fontId="28" fillId="44" borderId="0" xfId="0" applyFont="1" applyFill="1"/>
    <xf numFmtId="0" fontId="30" fillId="52" borderId="0" xfId="0" applyFont="1" applyFill="1"/>
    <xf numFmtId="0" fontId="28" fillId="2" borderId="0" xfId="0" applyFont="1" applyFill="1" applyAlignment="1">
      <alignment vertical="center"/>
    </xf>
    <xf numFmtId="0" fontId="29" fillId="43" borderId="0" xfId="0" applyFont="1" applyFill="1" applyAlignment="1">
      <alignment vertical="center"/>
    </xf>
    <xf numFmtId="0" fontId="29" fillId="51" borderId="0" xfId="0" applyFont="1" applyFill="1" applyAlignment="1">
      <alignment vertical="center"/>
    </xf>
    <xf numFmtId="0" fontId="29" fillId="3" borderId="0" xfId="0" applyFont="1" applyFill="1" applyAlignment="1">
      <alignment vertical="center"/>
    </xf>
    <xf numFmtId="0" fontId="28" fillId="44" borderId="0" xfId="0" applyFont="1" applyFill="1" applyAlignment="1">
      <alignment vertical="center"/>
    </xf>
    <xf numFmtId="0" fontId="29" fillId="47" borderId="0" xfId="0" applyFont="1" applyFill="1" applyAlignment="1">
      <alignment vertical="center"/>
    </xf>
    <xf numFmtId="0" fontId="23" fillId="0" borderId="0" xfId="0" applyFont="1"/>
    <xf numFmtId="0" fontId="25" fillId="52" borderId="0" xfId="0" applyFont="1" applyFill="1" applyBorder="1"/>
    <xf numFmtId="0" fontId="24" fillId="41" borderId="2" xfId="0" applyFont="1" applyFill="1" applyBorder="1"/>
    <xf numFmtId="0" fontId="4" fillId="52" borderId="0" xfId="0" applyFont="1" applyFill="1" applyBorder="1"/>
    <xf numFmtId="0" fontId="4" fillId="52" borderId="0" xfId="0" applyNumberFormat="1" applyFont="1" applyFill="1" applyBorder="1"/>
    <xf numFmtId="0" fontId="0" fillId="0" borderId="43" xfId="0" applyBorder="1"/>
    <xf numFmtId="0" fontId="0" fillId="0" borderId="45" xfId="0" applyBorder="1"/>
    <xf numFmtId="0" fontId="24" fillId="41" borderId="0" xfId="0" applyFont="1" applyFill="1" applyBorder="1"/>
    <xf numFmtId="0" fontId="28" fillId="0" borderId="0" xfId="0" applyFont="1" applyFill="1" applyAlignment="1">
      <alignment vertical="center"/>
    </xf>
    <xf numFmtId="0" fontId="29" fillId="0" borderId="0" xfId="0" applyFont="1" applyFill="1" applyAlignment="1">
      <alignment vertical="center"/>
    </xf>
    <xf numFmtId="0" fontId="0" fillId="0" borderId="0" xfId="0" applyFill="1" applyAlignment="1">
      <alignment vertical="center"/>
    </xf>
    <xf numFmtId="0" fontId="4" fillId="43" borderId="2" xfId="0" applyFont="1" applyFill="1" applyBorder="1"/>
    <xf numFmtId="0" fontId="4" fillId="43" borderId="2" xfId="0" applyNumberFormat="1" applyFont="1" applyFill="1" applyBorder="1"/>
    <xf numFmtId="0" fontId="24" fillId="40" borderId="46" xfId="0" applyFont="1" applyFill="1" applyBorder="1"/>
    <xf numFmtId="0" fontId="24" fillId="40" borderId="40" xfId="0" applyFont="1" applyFill="1" applyBorder="1"/>
    <xf numFmtId="0" fontId="24" fillId="38" borderId="40" xfId="0" applyFont="1" applyFill="1" applyBorder="1"/>
    <xf numFmtId="0" fontId="23" fillId="39" borderId="46" xfId="0" applyFont="1" applyFill="1" applyBorder="1"/>
    <xf numFmtId="0" fontId="23" fillId="39" borderId="40" xfId="0" applyFont="1" applyFill="1" applyBorder="1"/>
    <xf numFmtId="0" fontId="24" fillId="36" borderId="40" xfId="0" applyFont="1" applyFill="1" applyBorder="1"/>
    <xf numFmtId="0" fontId="24" fillId="48" borderId="46" xfId="0" applyFont="1" applyFill="1" applyBorder="1"/>
    <xf numFmtId="0" fontId="24" fillId="48" borderId="40" xfId="0" applyFont="1" applyFill="1" applyBorder="1"/>
    <xf numFmtId="0" fontId="25" fillId="57" borderId="40" xfId="0" applyFont="1" applyFill="1" applyBorder="1"/>
    <xf numFmtId="0" fontId="23" fillId="46" borderId="46" xfId="0" applyFont="1" applyFill="1" applyBorder="1"/>
    <xf numFmtId="0" fontId="23" fillId="46" borderId="40" xfId="0" applyFont="1" applyFill="1" applyBorder="1"/>
    <xf numFmtId="0" fontId="23" fillId="45" borderId="40" xfId="0" applyFont="1" applyFill="1" applyBorder="1"/>
    <xf numFmtId="0" fontId="24" fillId="50" borderId="46" xfId="0" applyFont="1" applyFill="1" applyBorder="1"/>
    <xf numFmtId="0" fontId="24" fillId="50" borderId="40" xfId="0" applyFont="1" applyFill="1" applyBorder="1"/>
    <xf numFmtId="0" fontId="23" fillId="56" borderId="40" xfId="0" applyFont="1" applyFill="1" applyBorder="1"/>
    <xf numFmtId="0" fontId="0" fillId="0" borderId="41" xfId="0" applyBorder="1" applyAlignment="1">
      <alignment vertical="top" textRotation="180"/>
    </xf>
    <xf numFmtId="0" fontId="31" fillId="0" borderId="0" xfId="0" applyFont="1" applyBorder="1" applyAlignment="1">
      <alignment vertical="top"/>
    </xf>
    <xf numFmtId="0" fontId="24" fillId="51" borderId="0" xfId="0" applyFont="1" applyFill="1" applyBorder="1"/>
    <xf numFmtId="0" fontId="29" fillId="51" borderId="0" xfId="0" applyFont="1" applyFill="1" applyBorder="1"/>
    <xf numFmtId="0" fontId="29" fillId="3" borderId="0" xfId="0" applyFont="1" applyFill="1" applyBorder="1"/>
    <xf numFmtId="0" fontId="29" fillId="51" borderId="0" xfId="0" applyFont="1" applyFill="1" applyBorder="1" applyAlignment="1">
      <alignment vertical="center"/>
    </xf>
    <xf numFmtId="0" fontId="29" fillId="3" borderId="0" xfId="0" applyFont="1" applyFill="1" applyBorder="1" applyAlignment="1">
      <alignment vertical="center"/>
    </xf>
    <xf numFmtId="0" fontId="29" fillId="47" borderId="0" xfId="0" applyFont="1" applyFill="1" applyBorder="1" applyAlignment="1">
      <alignment vertical="center"/>
    </xf>
    <xf numFmtId="0" fontId="29" fillId="47" borderId="0" xfId="0" applyFont="1" applyFill="1" applyBorder="1"/>
    <xf numFmtId="0" fontId="28" fillId="37" borderId="0" xfId="0" applyFont="1" applyFill="1" applyBorder="1"/>
    <xf numFmtId="0" fontId="28" fillId="44" borderId="0" xfId="0" applyFont="1" applyFill="1" applyBorder="1"/>
    <xf numFmtId="0" fontId="30" fillId="52" borderId="0" xfId="0" applyFont="1" applyFill="1" applyBorder="1"/>
    <xf numFmtId="0" fontId="24" fillId="38" borderId="0" xfId="0" applyFont="1" applyFill="1" applyBorder="1"/>
    <xf numFmtId="0" fontId="24" fillId="36" borderId="0" xfId="0" applyFont="1" applyFill="1" applyBorder="1"/>
    <xf numFmtId="0" fontId="24" fillId="36" borderId="47" xfId="0" applyFont="1" applyFill="1" applyBorder="1"/>
    <xf numFmtId="0" fontId="25" fillId="57" borderId="0" xfId="0" applyFont="1" applyFill="1" applyBorder="1"/>
    <xf numFmtId="0" fontId="23" fillId="45" borderId="0" xfId="0" applyFont="1" applyFill="1" applyBorder="1"/>
    <xf numFmtId="0" fontId="23" fillId="56" borderId="0" xfId="0" applyFont="1" applyFill="1" applyBorder="1"/>
    <xf numFmtId="0" fontId="23" fillId="2" borderId="0" xfId="0" applyFont="1" applyFill="1" applyBorder="1"/>
    <xf numFmtId="0" fontId="24" fillId="43" borderId="0" xfId="0" applyFont="1" applyFill="1" applyBorder="1"/>
    <xf numFmtId="0" fontId="24" fillId="3" borderId="0" xfId="0" applyFont="1" applyFill="1" applyBorder="1"/>
    <xf numFmtId="0" fontId="24" fillId="47" borderId="0" xfId="0" applyFont="1" applyFill="1" applyBorder="1"/>
    <xf numFmtId="0" fontId="23" fillId="37" borderId="0" xfId="0" applyFont="1" applyFill="1" applyBorder="1"/>
    <xf numFmtId="0" fontId="23" fillId="44" borderId="0" xfId="0" applyFont="1" applyFill="1" applyBorder="1"/>
    <xf numFmtId="0" fontId="23" fillId="49" borderId="0" xfId="0" applyFont="1" applyFill="1" applyBorder="1"/>
    <xf numFmtId="0" fontId="24" fillId="53" borderId="0" xfId="0" applyFont="1" applyFill="1" applyBorder="1"/>
    <xf numFmtId="0" fontId="24" fillId="40" borderId="0" xfId="0" applyFont="1" applyFill="1" applyBorder="1"/>
    <xf numFmtId="0" fontId="23" fillId="42" borderId="0" xfId="0" applyFont="1" applyFill="1" applyBorder="1"/>
    <xf numFmtId="0" fontId="23" fillId="39" borderId="0" xfId="0" applyFont="1" applyFill="1" applyBorder="1"/>
    <xf numFmtId="0" fontId="24" fillId="48" borderId="0" xfId="0" applyFont="1" applyFill="1" applyBorder="1"/>
    <xf numFmtId="0" fontId="23" fillId="46" borderId="0" xfId="0" applyFont="1" applyFill="1" applyBorder="1"/>
    <xf numFmtId="0" fontId="24" fillId="50" borderId="0" xfId="0" applyFont="1" applyFill="1" applyBorder="1"/>
    <xf numFmtId="0" fontId="23" fillId="54" borderId="0" xfId="0" applyFont="1" applyFill="1" applyBorder="1"/>
    <xf numFmtId="0" fontId="25" fillId="55" borderId="0" xfId="0" applyFont="1" applyFill="1" applyBorder="1"/>
    <xf numFmtId="0" fontId="24" fillId="52" borderId="0" xfId="0" applyFont="1" applyFill="1" applyBorder="1"/>
    <xf numFmtId="0" fontId="24" fillId="39" borderId="0" xfId="0" applyFont="1" applyFill="1" applyBorder="1"/>
    <xf numFmtId="0" fontId="25" fillId="39" borderId="0" xfId="0" applyFont="1" applyFill="1" applyBorder="1"/>
    <xf numFmtId="0" fontId="24" fillId="3" borderId="0" xfId="0" applyFont="1" applyFill="1" applyBorder="1" applyAlignment="1">
      <alignment vertical="center"/>
    </xf>
    <xf numFmtId="0" fontId="24" fillId="47" borderId="0" xfId="0" applyFont="1" applyFill="1" applyBorder="1" applyAlignment="1">
      <alignment vertical="center"/>
    </xf>
    <xf numFmtId="0" fontId="23" fillId="37" borderId="0" xfId="0" applyFont="1" applyFill="1" applyBorder="1" applyAlignment="1">
      <alignment vertical="center"/>
    </xf>
    <xf numFmtId="0" fontId="25" fillId="52" borderId="0" xfId="0" applyFont="1" applyFill="1" applyBorder="1" applyAlignment="1">
      <alignment vertical="center"/>
    </xf>
    <xf numFmtId="0" fontId="24" fillId="38" borderId="0" xfId="0" applyFont="1" applyFill="1" applyBorder="1" applyAlignment="1">
      <alignment vertical="center"/>
    </xf>
    <xf numFmtId="0" fontId="24" fillId="51" borderId="2" xfId="0" applyFont="1" applyFill="1" applyBorder="1"/>
    <xf numFmtId="0" fontId="29" fillId="47" borderId="2" xfId="0" applyFont="1" applyFill="1" applyBorder="1" applyAlignment="1">
      <alignment vertical="center"/>
    </xf>
    <xf numFmtId="0" fontId="24" fillId="40" borderId="2" xfId="0" applyFont="1" applyFill="1" applyBorder="1"/>
    <xf numFmtId="0" fontId="23" fillId="44" borderId="2" xfId="0" applyFont="1" applyFill="1" applyBorder="1"/>
    <xf numFmtId="0" fontId="25" fillId="39" borderId="2" xfId="0" applyFont="1" applyFill="1" applyBorder="1"/>
    <xf numFmtId="0" fontId="4" fillId="47" borderId="2" xfId="0" applyFont="1" applyFill="1" applyBorder="1"/>
    <xf numFmtId="0" fontId="23" fillId="2" borderId="2" xfId="0" applyFont="1" applyFill="1" applyBorder="1"/>
    <xf numFmtId="0" fontId="24" fillId="47" borderId="2" xfId="0" applyFont="1" applyFill="1" applyBorder="1"/>
    <xf numFmtId="0" fontId="23" fillId="49" borderId="2" xfId="0" applyFont="1" applyFill="1" applyBorder="1"/>
    <xf numFmtId="0" fontId="23" fillId="46" borderId="2" xfId="0" applyFont="1" applyFill="1" applyBorder="1"/>
    <xf numFmtId="0" fontId="24" fillId="50" borderId="2" xfId="0" applyFont="1" applyFill="1" applyBorder="1"/>
    <xf numFmtId="0" fontId="23" fillId="54" borderId="2" xfId="0" applyFont="1" applyFill="1" applyBorder="1"/>
    <xf numFmtId="0" fontId="24" fillId="53" borderId="2" xfId="0" applyFont="1" applyFill="1" applyBorder="1"/>
    <xf numFmtId="0" fontId="23" fillId="39" borderId="44" xfId="0" applyFont="1" applyFill="1" applyBorder="1"/>
    <xf numFmtId="0" fontId="24" fillId="39" borderId="2" xfId="0" applyFont="1" applyFill="1" applyBorder="1"/>
    <xf numFmtId="0" fontId="24" fillId="36" borderId="2" xfId="0" applyFont="1" applyFill="1" applyBorder="1"/>
    <xf numFmtId="0" fontId="23" fillId="37" borderId="2" xfId="0" applyFont="1" applyFill="1" applyBorder="1"/>
    <xf numFmtId="0" fontId="23" fillId="42" borderId="2" xfId="0" applyFont="1" applyFill="1" applyBorder="1"/>
    <xf numFmtId="0" fontId="24" fillId="43" borderId="2" xfId="0" applyFont="1" applyFill="1" applyBorder="1"/>
    <xf numFmtId="0" fontId="0" fillId="59" borderId="46" xfId="0" applyFont="1" applyFill="1" applyBorder="1"/>
    <xf numFmtId="0" fontId="0" fillId="60" borderId="40" xfId="0" applyFont="1" applyFill="1" applyBorder="1"/>
    <xf numFmtId="0" fontId="0" fillId="59" borderId="40" xfId="0" applyFont="1" applyFill="1" applyBorder="1"/>
    <xf numFmtId="0" fontId="0" fillId="60" borderId="52" xfId="0" applyFont="1" applyFill="1" applyBorder="1"/>
    <xf numFmtId="0" fontId="0" fillId="59" borderId="52" xfId="0" applyFont="1" applyFill="1" applyBorder="1"/>
    <xf numFmtId="0" fontId="29" fillId="3" borderId="2" xfId="0" applyFont="1" applyFill="1" applyBorder="1" applyAlignment="1">
      <alignment vertical="center"/>
    </xf>
    <xf numFmtId="0" fontId="0" fillId="59" borderId="50" xfId="0" applyFont="1" applyFill="1" applyBorder="1"/>
    <xf numFmtId="0" fontId="28" fillId="2" borderId="46" xfId="0" applyFont="1" applyFill="1" applyBorder="1" applyAlignment="1">
      <alignment vertical="center"/>
    </xf>
    <xf numFmtId="0" fontId="1" fillId="58" borderId="1" xfId="0" applyFont="1" applyFill="1" applyBorder="1" applyAlignment="1">
      <alignment vertical="top" textRotation="180"/>
    </xf>
    <xf numFmtId="0" fontId="32" fillId="58" borderId="48" xfId="0" applyFont="1" applyFill="1" applyBorder="1" applyAlignment="1">
      <alignment vertical="top"/>
    </xf>
    <xf numFmtId="0" fontId="1" fillId="58" borderId="49" xfId="0" applyFont="1" applyFill="1" applyBorder="1" applyAlignment="1">
      <alignment vertical="top" textRotation="180"/>
    </xf>
    <xf numFmtId="0" fontId="0" fillId="60" borderId="42" xfId="0" applyFont="1" applyFill="1" applyBorder="1"/>
    <xf numFmtId="0" fontId="29" fillId="43" borderId="52" xfId="0" applyFont="1" applyFill="1" applyBorder="1" applyAlignment="1">
      <alignment vertical="center"/>
    </xf>
    <xf numFmtId="0" fontId="28" fillId="44" borderId="46" xfId="0" applyFont="1" applyFill="1" applyBorder="1" applyAlignment="1">
      <alignment vertical="center"/>
    </xf>
    <xf numFmtId="0" fontId="28" fillId="44" borderId="52" xfId="0" applyFont="1" applyFill="1" applyBorder="1" applyAlignment="1">
      <alignment vertical="center"/>
    </xf>
    <xf numFmtId="0" fontId="28" fillId="2" borderId="46" xfId="0" applyFont="1" applyFill="1" applyBorder="1"/>
    <xf numFmtId="0" fontId="29" fillId="43" borderId="52" xfId="0" applyFont="1" applyFill="1" applyBorder="1"/>
    <xf numFmtId="0" fontId="23" fillId="2" borderId="46" xfId="0" applyFont="1" applyFill="1" applyBorder="1" applyAlignment="1">
      <alignment vertical="center"/>
    </xf>
    <xf numFmtId="0" fontId="1" fillId="58" borderId="47" xfId="0" applyFont="1" applyFill="1" applyBorder="1" applyAlignment="1">
      <alignment vertical="top" textRotation="180"/>
    </xf>
    <xf numFmtId="0" fontId="24" fillId="43" borderId="52" xfId="0" applyFont="1" applyFill="1" applyBorder="1" applyAlignment="1">
      <alignment vertical="center"/>
    </xf>
    <xf numFmtId="0" fontId="0" fillId="60" borderId="53" xfId="0" applyFont="1" applyFill="1" applyBorder="1"/>
    <xf numFmtId="0" fontId="0" fillId="59" borderId="53" xfId="0" applyFont="1" applyFill="1" applyBorder="1"/>
    <xf numFmtId="0" fontId="24" fillId="53" borderId="40" xfId="0" applyFont="1" applyFill="1" applyBorder="1" applyAlignment="1">
      <alignment vertical="center"/>
    </xf>
    <xf numFmtId="0" fontId="24" fillId="36" borderId="46" xfId="0" applyFont="1" applyFill="1" applyBorder="1" applyAlignment="1">
      <alignment vertical="center"/>
    </xf>
    <xf numFmtId="0" fontId="24" fillId="36" borderId="52" xfId="0" applyFont="1" applyFill="1" applyBorder="1" applyAlignment="1">
      <alignment vertical="center"/>
    </xf>
    <xf numFmtId="0" fontId="23" fillId="49" borderId="46" xfId="0" applyFont="1" applyFill="1" applyBorder="1" applyAlignment="1">
      <alignment vertical="center"/>
    </xf>
    <xf numFmtId="0" fontId="23" fillId="49" borderId="40" xfId="0" applyFont="1" applyFill="1" applyBorder="1" applyAlignment="1">
      <alignment vertical="center"/>
    </xf>
    <xf numFmtId="0" fontId="23" fillId="49" borderId="52" xfId="0" applyFont="1" applyFill="1" applyBorder="1" applyAlignment="1">
      <alignment vertical="center"/>
    </xf>
    <xf numFmtId="0" fontId="23" fillId="2" borderId="46" xfId="0" applyFont="1" applyFill="1" applyBorder="1"/>
    <xf numFmtId="0" fontId="24" fillId="43" borderId="40" xfId="0" applyFont="1" applyFill="1" applyBorder="1"/>
    <xf numFmtId="0" fontId="24" fillId="43" borderId="52" xfId="0" applyFont="1" applyFill="1" applyBorder="1"/>
    <xf numFmtId="0" fontId="0" fillId="59" borderId="42" xfId="0" applyFont="1" applyFill="1" applyBorder="1"/>
    <xf numFmtId="0" fontId="24" fillId="36" borderId="52" xfId="0" applyFont="1" applyFill="1" applyBorder="1"/>
    <xf numFmtId="0" fontId="24" fillId="41" borderId="46" xfId="0" applyFont="1" applyFill="1" applyBorder="1"/>
    <xf numFmtId="0" fontId="24" fillId="41" borderId="52" xfId="0" applyFont="1" applyFill="1" applyBorder="1"/>
    <xf numFmtId="0" fontId="23" fillId="49" borderId="46" xfId="0" applyFont="1" applyFill="1" applyBorder="1"/>
    <xf numFmtId="0" fontId="25" fillId="52" borderId="52" xfId="0" applyFont="1" applyFill="1" applyBorder="1"/>
    <xf numFmtId="0" fontId="1" fillId="58" borderId="51" xfId="0" applyFont="1" applyFill="1" applyBorder="1" applyAlignment="1">
      <alignment vertical="top" textRotation="180"/>
    </xf>
    <xf numFmtId="0" fontId="25" fillId="55" borderId="46" xfId="0" applyFont="1" applyFill="1" applyBorder="1"/>
    <xf numFmtId="0" fontId="23" fillId="54" borderId="52" xfId="0" applyFont="1" applyFill="1" applyBorder="1"/>
    <xf numFmtId="0" fontId="24" fillId="53" borderId="52" xfId="0" applyFont="1" applyFill="1" applyBorder="1"/>
    <xf numFmtId="0" fontId="29" fillId="3" borderId="2" xfId="0" applyFont="1" applyFill="1" applyBorder="1"/>
    <xf numFmtId="0" fontId="28" fillId="37" borderId="2" xfId="0" applyFont="1" applyFill="1" applyBorder="1"/>
    <xf numFmtId="0" fontId="30" fillId="52" borderId="2" xfId="0" applyFont="1" applyFill="1" applyBorder="1"/>
    <xf numFmtId="0" fontId="24" fillId="40" borderId="52" xfId="0" applyFont="1" applyFill="1" applyBorder="1"/>
    <xf numFmtId="0" fontId="24" fillId="3" borderId="2" xfId="0" applyFont="1" applyFill="1" applyBorder="1" applyAlignment="1">
      <alignment vertical="center"/>
    </xf>
    <xf numFmtId="0" fontId="23" fillId="37" borderId="2" xfId="0" applyFont="1" applyFill="1" applyBorder="1" applyAlignment="1">
      <alignment vertical="center"/>
    </xf>
    <xf numFmtId="0" fontId="25" fillId="52" borderId="2" xfId="0" applyFont="1" applyFill="1" applyBorder="1" applyAlignment="1">
      <alignment vertical="center"/>
    </xf>
    <xf numFmtId="0" fontId="23" fillId="56" borderId="2" xfId="0" applyFont="1" applyFill="1" applyBorder="1"/>
    <xf numFmtId="0" fontId="25" fillId="52" borderId="2" xfId="0" applyFont="1" applyFill="1" applyBorder="1"/>
    <xf numFmtId="0" fontId="24" fillId="38" borderId="44" xfId="0" applyFont="1" applyFill="1" applyBorder="1"/>
    <xf numFmtId="0" fontId="24" fillId="40" borderId="47" xfId="0" applyFont="1" applyFill="1" applyBorder="1"/>
    <xf numFmtId="0" fontId="25" fillId="57" borderId="44" xfId="0" applyFont="1" applyFill="1" applyBorder="1"/>
    <xf numFmtId="0" fontId="24" fillId="48" borderId="47" xfId="0" applyFont="1" applyFill="1" applyBorder="1"/>
    <xf numFmtId="0" fontId="23" fillId="46" borderId="47" xfId="0" applyFont="1" applyFill="1" applyBorder="1"/>
    <xf numFmtId="0" fontId="23" fillId="45" borderId="44" xfId="0" applyFont="1" applyFill="1" applyBorder="1"/>
    <xf numFmtId="0" fontId="24" fillId="50" borderId="47" xfId="0" applyFont="1" applyFill="1" applyBorder="1"/>
    <xf numFmtId="0" fontId="23" fillId="56" borderId="44" xfId="0" applyFont="1" applyFill="1" applyBorder="1"/>
    <xf numFmtId="0" fontId="24" fillId="52" borderId="2" xfId="0" applyFont="1" applyFill="1" applyBorder="1"/>
    <xf numFmtId="0" fontId="24" fillId="3" borderId="2" xfId="0" applyFont="1" applyFill="1" applyBorder="1"/>
    <xf numFmtId="0" fontId="4" fillId="36" borderId="2" xfId="0" applyFont="1" applyFill="1" applyBorder="1"/>
    <xf numFmtId="0" fontId="25" fillId="57" borderId="2" xfId="0" applyFont="1" applyFill="1" applyBorder="1"/>
    <xf numFmtId="0" fontId="23" fillId="45" borderId="2" xfId="0" applyFont="1" applyFill="1" applyBorder="1"/>
    <xf numFmtId="0" fontId="7" fillId="0" borderId="0" xfId="0" applyFont="1" applyBorder="1" applyAlignment="1">
      <alignment horizontal="right"/>
    </xf>
    <xf numFmtId="0" fontId="24" fillId="38" borderId="2" xfId="0" applyFont="1" applyFill="1" applyBorder="1" applyAlignment="1">
      <alignment vertical="center"/>
    </xf>
    <xf numFmtId="0" fontId="32" fillId="58" borderId="49" xfId="0"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54">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483D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FA500"/>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0E68C"/>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7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EE82EE"/>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alibri"/>
        <family val="2"/>
        <scheme val="minor"/>
      </font>
      <fill>
        <patternFill patternType="solid">
          <fgColor indexed="64"/>
          <bgColor rgb="FF0000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8B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3CB371"/>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fill>
        <patternFill patternType="none">
          <fgColor indexed="64"/>
          <bgColor indexed="65"/>
        </patternFill>
      </fill>
    </dxf>
    <dxf>
      <border diagonalUp="0" diagonalDown="0" outline="0">
        <left/>
        <right/>
        <top/>
        <bottom/>
      </border>
    </dxf>
    <dxf>
      <numFmt numFmtId="0" formatCode="General"/>
    </dxf>
    <dxf>
      <border diagonalUp="0" diagonalDown="0" outline="0">
        <left style="medium">
          <color indexed="64"/>
        </left>
        <right style="thin">
          <color theme="0"/>
        </right>
        <top/>
        <bottom/>
      </border>
    </dxf>
    <dxf>
      <border diagonalUp="0" diagonalDown="0">
        <left style="medium">
          <color rgb="FF000000"/>
        </left>
        <right style="medium">
          <color rgb="FF000000"/>
        </right>
        <top style="medium">
          <color rgb="FF000000"/>
        </top>
        <bottom style="medium">
          <color rgb="FF000000"/>
        </bottom>
      </border>
    </dxf>
    <dxf>
      <alignment horizontal="general" vertical="top" textRotation="18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A52A2A"/>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fill>
        <patternFill patternType="none">
          <fgColor indexed="64"/>
          <bgColor auto="1"/>
        </patternFill>
      </fill>
    </dxf>
    <dxf>
      <border diagonalUp="0" diagonalDown="0" outline="0">
        <left/>
        <right/>
        <top/>
        <bottom/>
      </border>
    </dxf>
    <dxf>
      <numFmt numFmtId="0" formatCode="General"/>
    </dxf>
    <dxf>
      <border diagonalUp="0" diagonalDown="0" outline="0">
        <left style="medium">
          <color indexed="64"/>
        </left>
        <right style="thin">
          <color theme="0"/>
        </right>
        <top/>
        <bottom/>
      </border>
    </dxf>
    <dxf>
      <border diagonalUp="0" diagonalDown="0">
        <left style="medium">
          <color rgb="FF000000"/>
        </left>
        <right style="medium">
          <color rgb="FF000000"/>
        </right>
        <top style="medium">
          <color rgb="FF000000"/>
        </top>
        <bottom style="medium">
          <color rgb="FF000000"/>
        </bottom>
      </border>
    </dxf>
    <dxf>
      <alignment horizontal="general" vertical="top" textRotation="18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ill>
        <patternFill patternType="none">
          <fgColor indexed="64"/>
          <bgColor indexed="65"/>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numFmt numFmtId="0" formatCode="Genera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FFF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FF"/>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FA07A"/>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numFmt numFmtId="0" formatCode="General"/>
      <fill>
        <patternFill patternType="none">
          <fgColor indexed="64"/>
          <bgColor indexed="65"/>
        </patternFill>
      </fill>
    </dxf>
    <dxf>
      <border diagonalUp="0" diagonalDown="0" outline="0">
        <left/>
        <right/>
        <top/>
        <bottom/>
      </border>
    </dxf>
    <dxf>
      <numFmt numFmtId="0" formatCode="General"/>
    </dxf>
    <dxf>
      <border diagonalUp="0" diagonalDown="0" outline="0">
        <left style="medium">
          <color indexed="64"/>
        </left>
        <right style="thin">
          <color theme="0"/>
        </right>
        <top/>
        <bottom/>
      </border>
    </dxf>
    <dxf>
      <border diagonalUp="0" diagonalDown="0">
        <left style="medium">
          <color rgb="FF000000"/>
        </left>
        <right style="medium">
          <color rgb="FF000000"/>
        </right>
        <top style="medium">
          <color rgb="FF000000"/>
        </top>
        <bottom style="medium">
          <color rgb="FF000000"/>
        </bottom>
      </border>
    </dxf>
    <dxf>
      <alignment horizontal="general" vertical="top" textRotation="18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left style="medium">
          <color indexed="64"/>
        </left>
        <right style="medium">
          <color indexed="64"/>
        </right>
        <top/>
        <bottom/>
        <vertical/>
        <horizontal/>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0E68C"/>
        </patternFill>
      </fill>
      <border diagonalUp="0" diagonalDown="0">
        <left style="thin">
          <color theme="0"/>
        </left>
        <right/>
        <top style="thin">
          <color theme="0"/>
        </top>
        <bottom/>
        <vertical/>
        <horizontal/>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7F"/>
        </patternFill>
      </fill>
      <border diagonalUp="0" diagonalDown="0">
        <left style="thin">
          <color theme="0"/>
        </left>
        <right/>
        <top style="thin">
          <color theme="0"/>
        </top>
        <bottom/>
        <vertical/>
        <horizontal/>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EE82EE"/>
        </patternFill>
      </fill>
      <border diagonalUp="0" diagonalDown="0">
        <left style="thin">
          <color theme="0"/>
        </left>
        <right/>
        <top style="thin">
          <color theme="0"/>
        </top>
        <bottom/>
        <vertical/>
        <horizontal/>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FF"/>
        </patternFill>
      </fill>
      <border diagonalUp="0" diagonalDown="0">
        <left style="thin">
          <color theme="0"/>
        </left>
        <right/>
        <top style="thin">
          <color theme="0"/>
        </top>
        <bottom/>
        <vertical/>
        <horizontal/>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FF"/>
        </patternFill>
      </fill>
      <border diagonalUp="0" diagonalDown="0">
        <left style="thin">
          <color theme="0"/>
        </left>
        <right/>
        <top style="thin">
          <color theme="0"/>
        </top>
        <bottom/>
        <vertical/>
        <horizontal/>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9ACD32"/>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8B008B"/>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3CB371"/>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style="medium">
          <color indexed="64"/>
        </left>
        <right style="thin">
          <color theme="0"/>
        </right>
        <top/>
        <bottom/>
      </border>
    </dxf>
    <dxf>
      <border diagonalUp="0" diagonalDown="0">
        <left style="medium">
          <color rgb="FF000000"/>
        </left>
        <right style="medium">
          <color rgb="FF000000"/>
        </right>
        <top style="medium">
          <color rgb="FF000000"/>
        </top>
        <bottom style="medium">
          <color rgb="FF000000"/>
        </bottom>
      </border>
    </dxf>
    <dxf>
      <alignment horizontal="general" vertical="top" textRotation="180"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8B008B"/>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7CFC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style="medium">
          <color indexed="64"/>
        </left>
        <right style="thin">
          <color theme="0"/>
        </right>
        <top/>
        <bottom/>
      </border>
    </dxf>
    <dxf>
      <border diagonalUp="0" diagonalDown="0">
        <left style="medium">
          <color rgb="FF000000"/>
        </left>
        <right style="medium">
          <color rgb="FF000000"/>
        </right>
        <top style="medium">
          <color rgb="FF000000"/>
        </top>
        <bottom style="medium">
          <color rgb="FF000000"/>
        </bottom>
      </border>
    </dxf>
    <dxf>
      <alignment horizontal="general" vertical="top" textRotation="18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0"/>
        <name val="Courier New"/>
        <family val="3"/>
        <scheme val="none"/>
      </font>
      <fill>
        <patternFill patternType="solid">
          <fgColor indexed="64"/>
          <bgColor rgb="FF483D8B"/>
        </patternFill>
      </fill>
      <border diagonalUp="0" diagonalDown="0" outline="0">
        <left style="thin">
          <color them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483D8B"/>
        </patternFill>
      </fill>
      <border diagonalUp="0" diagonalDown="0">
        <left style="thin">
          <color theme="0"/>
        </left>
        <right/>
        <top style="thick">
          <color theme="0"/>
        </top>
        <bottom/>
        <vertical/>
        <horizontal/>
      </border>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FA5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A9A9A9"/>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0E68C"/>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7F"/>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EE82EE"/>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8B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3CB371"/>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numFmt numFmtId="0" formatCode="General"/>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8B008B"/>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3CB371"/>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numFmt numFmtId="0" formatCode="General"/>
    </dxf>
    <dxf>
      <numFmt numFmtId="0" formatCode="General"/>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alibri"/>
        <family val="2"/>
        <scheme val="minor"/>
      </font>
      <fill>
        <patternFill patternType="solid">
          <fgColor indexed="64"/>
          <bgColor rgb="FF1E90FF"/>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numFmt numFmtId="0" formatCode="Genera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FFA07A"/>
        </patternFill>
      </fill>
      <alignment horizontal="general" vertical="center" textRotation="0" wrapText="0" indent="0" justifyLastLine="0" shrinkToFit="0" readingOrder="0"/>
      <border diagonalUp="0" diagonalDown="0">
        <left style="thin">
          <color theme="0"/>
        </left>
        <right/>
        <top style="thin">
          <color theme="0"/>
        </top>
        <bottom/>
        <vertical/>
        <horizontal/>
      </border>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0000FF"/>
        </patternFill>
      </fill>
      <alignment horizontal="general" vertical="center" textRotation="0" wrapText="0" indent="0" justifyLastLine="0" shrinkToFit="0" readingOrder="0"/>
      <border diagonalUp="0" diagonalDown="0">
        <left style="thin">
          <color theme="0"/>
        </left>
        <right/>
        <top style="thick">
          <color theme="0"/>
        </top>
        <bottom/>
        <vertical/>
        <horizontal/>
      </border>
    </dxf>
    <dxf>
      <border outline="0">
        <left style="medium">
          <color indexed="64"/>
        </left>
        <right style="medium">
          <color indexed="64"/>
        </right>
        <top style="medium">
          <color indexed="64"/>
        </top>
        <bottom style="medium">
          <color indexed="64"/>
        </bottom>
      </border>
    </dxf>
    <dxf>
      <border outline="0">
        <bottom style="thick">
          <color theme="0"/>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FF"/>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auto="1"/>
        <name val="Courier New"/>
        <family val="3"/>
        <scheme val="none"/>
      </font>
      <fill>
        <patternFill patternType="solid">
          <fgColor indexed="64"/>
          <bgColor rgb="FF3CB371"/>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ourier New"/>
        <family val="3"/>
        <scheme val="none"/>
      </font>
      <fill>
        <patternFill patternType="solid">
          <fgColor indexed="64"/>
          <bgColor rgb="FF00FFFF"/>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FF0000"/>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outline="0">
        <left/>
        <right/>
        <top/>
        <bottom/>
      </border>
    </dxf>
    <dxf>
      <font>
        <b val="0"/>
        <i val="0"/>
        <strike val="0"/>
        <condense val="0"/>
        <extend val="0"/>
        <outline val="0"/>
        <shadow val="0"/>
        <u val="none"/>
        <vertAlign val="baseline"/>
        <sz val="11"/>
        <color auto="1"/>
        <name val="Calibri"/>
        <family val="2"/>
        <scheme val="minor"/>
      </font>
      <numFmt numFmtId="0" formatCode="General"/>
    </dxf>
    <dxf>
      <border diagonalUp="0" diagonalDown="0" outline="0">
        <left/>
        <right style="thin">
          <color theme="0"/>
        </right>
        <top/>
        <bottom/>
      </border>
    </dxf>
    <dxf>
      <font>
        <strike val="0"/>
        <outline val="0"/>
        <shadow val="0"/>
        <u val="none"/>
        <vertAlign val="baseline"/>
        <sz val="11"/>
        <color auto="1"/>
        <name val="Calibri"/>
        <family val="2"/>
        <scheme val="minor"/>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family val="2"/>
        <scheme val="minor"/>
      </font>
    </dxf>
    <dxf>
      <alignment horizontal="general" vertical="top" textRotation="180" wrapText="0" indent="0" justifyLastLine="0" shrinkToFit="0" readingOrder="0"/>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auto="1"/>
        <name val="Calibri"/>
        <family val="2"/>
        <scheme val="none"/>
      </font>
      <fill>
        <patternFill patternType="solid">
          <fgColor indexed="64"/>
          <bgColor rgb="FF3CB371"/>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1"/>
        <name val="Calibri"/>
        <family val="2"/>
        <scheme val="none"/>
      </font>
      <fill>
        <patternFill patternType="solid">
          <fgColor indexed="64"/>
          <bgColor rgb="FF00FFFF"/>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alibri"/>
        <family val="2"/>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none"/>
      </font>
      <fill>
        <patternFill patternType="solid">
          <fgColor indexed="64"/>
          <bgColor rgb="FF7CFC00"/>
        </patternFill>
      </fill>
      <alignment horizontal="general" vertical="center" textRotation="0" wrapText="0" indent="0" justifyLastLine="0" shrinkToFit="0" readingOrder="0"/>
      <border diagonalUp="0" diagonalDown="0" outline="0">
        <left style="thin">
          <color theme="0"/>
        </left>
        <right/>
        <top/>
        <bottom/>
      </border>
    </dxf>
    <dxf>
      <font>
        <b val="0"/>
        <i val="0"/>
        <strike val="0"/>
        <condense val="0"/>
        <extend val="0"/>
        <outline val="0"/>
        <shadow val="0"/>
        <u val="none"/>
        <vertAlign val="baseline"/>
        <sz val="11"/>
        <color theme="1"/>
        <name val="Calibri"/>
        <family val="2"/>
        <scheme val="none"/>
      </font>
      <fill>
        <patternFill patternType="solid">
          <fgColor indexed="64"/>
          <bgColor rgb="FF7CFC00"/>
        </patternFill>
      </fill>
      <alignment horizontal="general" vertical="center" textRotation="0" wrapText="0" indent="0" justifyLastLine="0" shrinkToFit="0" readingOrder="0"/>
      <border diagonalUp="0" diagonalDown="0">
        <left style="thin">
          <color theme="0"/>
        </left>
        <right/>
        <top style="thick">
          <color theme="0"/>
        </top>
        <bottom/>
        <vertical/>
        <horizontal/>
      </border>
    </dxf>
    <dxf>
      <border outline="0">
        <left style="medium">
          <color indexed="64"/>
        </left>
        <right style="medium">
          <color indexed="64"/>
        </right>
        <top style="medium">
          <color indexed="64"/>
        </top>
        <bottom style="medium">
          <color indexed="64"/>
        </bottom>
      </border>
    </dxf>
    <dxf>
      <border outline="0">
        <bottom style="thick">
          <color theme="0"/>
        </bottom>
      </border>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alibri"/>
        <family val="2"/>
        <scheme val="none"/>
      </font>
      <fill>
        <patternFill patternType="solid">
          <fgColor indexed="64"/>
          <bgColor rgb="FF1E90FF"/>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font>
        <b val="0"/>
        <i val="0"/>
        <strike val="0"/>
        <condense val="0"/>
        <extend val="0"/>
        <outline val="0"/>
        <shadow val="0"/>
        <u val="none"/>
        <vertAlign val="baseline"/>
        <sz val="11"/>
        <color theme="0"/>
        <name val="Calibri"/>
        <family val="2"/>
        <scheme val="none"/>
      </font>
      <fill>
        <patternFill patternType="solid">
          <fgColor indexed="64"/>
          <bgColor rgb="FFFF0000"/>
        </patternFill>
      </fill>
      <alignment horizontal="general" vertical="center"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general" vertical="top"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thick">
          <color theme="0"/>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alibri"/>
        <family val="2"/>
        <scheme val="none"/>
      </font>
      <fill>
        <patternFill patternType="solid">
          <fgColor indexed="64"/>
          <bgColor rgb="FFFF0000"/>
        </patternFill>
      </fil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general" vertical="top"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alignment horizontal="general" vertical="top" textRotation="180" wrapText="0" indent="0" justifyLastLine="0" shrinkToFit="0" readingOrder="0"/>
    </dxf>
    <dxf>
      <border diagonalUp="0" diagonalDown="0" outline="0">
        <left/>
        <right/>
        <top/>
        <bottom/>
      </border>
    </dxf>
    <dxf>
      <font>
        <b val="0"/>
        <i val="0"/>
        <strike val="0"/>
        <condense val="0"/>
        <extend val="0"/>
        <outline val="0"/>
        <shadow val="0"/>
        <u val="none"/>
        <vertAlign val="baseline"/>
        <sz val="11"/>
        <color theme="0"/>
        <name val="Courier New"/>
        <family val="3"/>
        <scheme val="none"/>
      </font>
      <fill>
        <patternFill patternType="solid">
          <fgColor indexed="64"/>
          <bgColor rgb="FFA52A2A"/>
        </patternFill>
      </fill>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numFmt numFmtId="0" formatCode="Genera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numFmt numFmtId="0" formatCode="General"/>
    </dxf>
    <dxf>
      <border diagonalUp="0" diagonalDown="0" outline="0">
        <left/>
        <right/>
        <top/>
        <bottom/>
      </border>
    </dxf>
    <dxf>
      <numFmt numFmtId="0" formatCode="General"/>
    </dxf>
    <dxf>
      <border diagonalUp="0" diagonalDown="0" outline="0">
        <left/>
        <right style="thin">
          <color theme="0"/>
        </right>
        <top/>
        <bottom/>
      </border>
    </dxf>
    <dxf>
      <border diagonalUp="0" diagonalDown="0">
        <left style="medium">
          <color indexed="64"/>
        </left>
        <right style="medium">
          <color indexed="64"/>
        </right>
        <top style="medium">
          <color indexed="64"/>
        </top>
        <bottom style="medium">
          <color indexed="64"/>
        </bottom>
      </border>
    </dxf>
    <dxf>
      <alignment horizontal="general" vertical="top" wrapText="0" indent="0" justifyLastLine="0" shrinkToFit="0" readingOrder="0"/>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general" vertical="top" wrapText="0" indent="0" justifyLastLine="0" shrinkToFit="0" readingOrder="0"/>
    </dxf>
  </dxfs>
  <tableStyles count="0" defaultTableStyle="TableStyleMedium9" defaultPivotStyle="PivotStyleLight16"/>
  <colors>
    <mruColors>
      <color rgb="FFFFFF00"/>
      <color rgb="FF00008B"/>
      <color rgb="FF0000FF"/>
      <color rgb="FF3CB371"/>
      <color rgb="FF1E90FF"/>
      <color rgb="FFFFA07A"/>
      <color rgb="FFFF00FF"/>
      <color rgb="FFA9A9A9"/>
      <color rgb="FF8B008B"/>
      <color rgb="FF556B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10</xdr:col>
      <xdr:colOff>123826</xdr:colOff>
      <xdr:row>0</xdr:row>
      <xdr:rowOff>38100</xdr:rowOff>
    </xdr:from>
    <xdr:to>
      <xdr:col>33</xdr:col>
      <xdr:colOff>0</xdr:colOff>
      <xdr:row>40</xdr:row>
      <xdr:rowOff>180975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1D7E14-C215-4BBB-91C0-A1E6DBD2289E}"/>
                </a:ext>
              </a:extLst>
            </xdr:cNvPr>
            <xdr:cNvSpPr txBox="1"/>
          </xdr:nvSpPr>
          <xdr:spPr>
            <a:xfrm>
              <a:off x="3752851" y="38100"/>
              <a:ext cx="13896974" cy="826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The purpose of this workbook is to demonstrate that lexicographically sorted matrices of </a:t>
              </a:r>
              <a14:m>
                <m:oMath xmlns:m="http://schemas.openxmlformats.org/officeDocument/2006/math">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𝑆</m:t>
                  </m:r>
                  <m:d>
                    <m:dPr>
                      <m:ctrlPr>
                        <a:rPr lang="en-AU" sz="1100" i="1">
                          <a:solidFill>
                            <a:schemeClr val="dk1"/>
                          </a:solidFill>
                          <a:effectLst/>
                          <a:latin typeface="Cambria Math" panose="02040503050406030204" pitchFamily="18" charset="0"/>
                          <a:ea typeface="+mn-ea"/>
                          <a:cs typeface="+mn-cs"/>
                        </a:rPr>
                      </m:ctrlPr>
                    </m:dPr>
                    <m:e>
                      <m:sSub>
                        <m:sSubPr>
                          <m:ctrlPr>
                            <a:rPr lang="en-AU" sz="1100" i="1">
                              <a:solidFill>
                                <a:schemeClr val="dk1"/>
                              </a:solidFill>
                              <a:effectLst/>
                              <a:latin typeface="Cambria Math" panose="02040503050406030204" pitchFamily="18" charset="0"/>
                              <a:ea typeface="+mn-ea"/>
                              <a:cs typeface="+mn-cs"/>
                            </a:rPr>
                          </m:ctrlPr>
                        </m:sSubPr>
                        <m:e>
                          <m:r>
                            <a:rPr lang="en-AU" sz="1100" i="1">
                              <a:solidFill>
                                <a:schemeClr val="dk1"/>
                              </a:solidFill>
                              <a:effectLst/>
                              <a:latin typeface="Cambria Math" panose="02040503050406030204" pitchFamily="18" charset="0"/>
                              <a:ea typeface="+mn-ea"/>
                              <a:cs typeface="+mn-cs"/>
                            </a:rPr>
                            <m:t>𝑛</m:t>
                          </m:r>
                        </m:e>
                        <m:sub>
                          <m:r>
                            <a:rPr lang="en-AU" sz="1100" i="1">
                              <a:solidFill>
                                <a:schemeClr val="dk1"/>
                              </a:solidFill>
                              <a:effectLst/>
                              <a:latin typeface="Cambria Math" panose="02040503050406030204" pitchFamily="18" charset="0"/>
                              <a:ea typeface="+mn-ea"/>
                              <a:cs typeface="+mn-cs"/>
                            </a:rPr>
                            <m:t>𝑏</m:t>
                          </m:r>
                        </m:sub>
                      </m:sSub>
                    </m:e>
                  </m:d>
                  <m:d>
                    <m:dPr>
                      <m:begChr m:val="{"/>
                      <m:endChr m:val="|"/>
                      <m:ctrlPr>
                        <a:rPr lang="en-AU" sz="1100" i="1">
                          <a:solidFill>
                            <a:schemeClr val="dk1"/>
                          </a:solidFill>
                          <a:effectLst/>
                          <a:latin typeface="Cambria Math" panose="02040503050406030204" pitchFamily="18" charset="0"/>
                          <a:ea typeface="+mn-ea"/>
                          <a:cs typeface="+mn-cs"/>
                        </a:rPr>
                      </m:ctrlPr>
                    </m:dPr>
                    <m:e>
                      <m:d>
                        <m:dPr>
                          <m:ctrlPr>
                            <a:rPr lang="en-AU" sz="1100" i="1">
                              <a:solidFill>
                                <a:schemeClr val="dk1"/>
                              </a:solidFill>
                              <a:effectLst/>
                              <a:latin typeface="Cambria Math" panose="02040503050406030204" pitchFamily="18" charset="0"/>
                              <a:ea typeface="+mn-ea"/>
                              <a:cs typeface="+mn-cs"/>
                            </a:rPr>
                          </m:ctrlPr>
                        </m:dPr>
                        <m:e>
                          <m:r>
                            <a:rPr lang="en-AU" sz="1100" i="1">
                              <a:solidFill>
                                <a:schemeClr val="dk1"/>
                              </a:solidFill>
                              <a:effectLst/>
                              <a:latin typeface="Cambria Math" panose="02040503050406030204" pitchFamily="18" charset="0"/>
                              <a:ea typeface="+mn-ea"/>
                              <a:cs typeface="+mn-cs"/>
                            </a:rPr>
                            <m:t>𝑥</m:t>
                          </m:r>
                          <m:r>
                            <a:rPr lang="en-AU" sz="1100" i="1">
                              <a:solidFill>
                                <a:schemeClr val="dk1"/>
                              </a:solidFill>
                              <a:effectLst/>
                              <a:latin typeface="Cambria Math" panose="02040503050406030204" pitchFamily="18" charset="0"/>
                              <a:ea typeface="+mn-ea"/>
                              <a:cs typeface="+mn-cs"/>
                            </a:rPr>
                            <m:t>, </m:t>
                          </m:r>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 </m:t>
                          </m:r>
                          <m:r>
                            <a:rPr lang="en-AU" sz="1100" i="1">
                              <a:solidFill>
                                <a:schemeClr val="dk1"/>
                              </a:solidFill>
                              <a:effectLst/>
                              <a:latin typeface="Cambria Math" panose="02040503050406030204" pitchFamily="18" charset="0"/>
                              <a:ea typeface="+mn-ea"/>
                              <a:cs typeface="+mn-cs"/>
                            </a:rPr>
                            <m:t>𝑏</m:t>
                          </m:r>
                        </m:e>
                      </m:d>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ℤ</m:t>
                      </m:r>
                      <m:r>
                        <a:rPr lang="en-AU" sz="1100" i="1">
                          <a:solidFill>
                            <a:schemeClr val="dk1"/>
                          </a:solidFill>
                          <a:effectLst/>
                          <a:latin typeface="Cambria Math" panose="02040503050406030204" pitchFamily="18" charset="0"/>
                          <a:ea typeface="+mn-ea"/>
                          <a:cs typeface="+mn-cs"/>
                        </a:rPr>
                        <m:t> </m:t>
                      </m:r>
                    </m:e>
                  </m:d>
                  <m:r>
                    <a:rPr lang="en-AU" sz="1100" i="1">
                      <a:solidFill>
                        <a:schemeClr val="dk1"/>
                      </a:solidFill>
                      <a:effectLst/>
                      <a:latin typeface="Cambria Math" panose="02040503050406030204" pitchFamily="18" charset="0"/>
                      <a:ea typeface="+mn-ea"/>
                      <a:cs typeface="+mn-cs"/>
                    </a:rPr>
                    <m:t>0≤</m:t>
                  </m:r>
                  <m:r>
                    <a:rPr lang="en-AU" sz="1100" i="1">
                      <a:solidFill>
                        <a:schemeClr val="dk1"/>
                      </a:solidFill>
                      <a:effectLst/>
                      <a:latin typeface="Cambria Math" panose="02040503050406030204" pitchFamily="18" charset="0"/>
                      <a:ea typeface="+mn-ea"/>
                      <a:cs typeface="+mn-cs"/>
                    </a:rPr>
                    <m:t>𝑥</m:t>
                  </m:r>
                  <m:r>
                    <a:rPr lang="en-AU" sz="1100" i="1">
                      <a:solidFill>
                        <a:schemeClr val="dk1"/>
                      </a:solidFill>
                      <a:effectLst/>
                      <a:latin typeface="Cambria Math" panose="02040503050406030204" pitchFamily="18" charset="0"/>
                      <a:ea typeface="+mn-ea"/>
                      <a:cs typeface="+mn-cs"/>
                    </a:rPr>
                    <m:t>&lt;</m:t>
                  </m:r>
                  <m:sSup>
                    <m:sSupPr>
                      <m:ctrlPr>
                        <a:rPr lang="en-AU" sz="1100" i="1">
                          <a:solidFill>
                            <a:schemeClr val="dk1"/>
                          </a:solidFill>
                          <a:effectLst/>
                          <a:latin typeface="Cambria Math" panose="02040503050406030204" pitchFamily="18" charset="0"/>
                          <a:ea typeface="+mn-ea"/>
                          <a:cs typeface="+mn-cs"/>
                        </a:rPr>
                      </m:ctrlPr>
                    </m:sSupPr>
                    <m:e>
                      <m:r>
                        <a:rPr lang="en-AU" sz="1100" i="1">
                          <a:solidFill>
                            <a:schemeClr val="dk1"/>
                          </a:solidFill>
                          <a:effectLst/>
                          <a:latin typeface="Cambria Math" panose="02040503050406030204" pitchFamily="18" charset="0"/>
                          <a:ea typeface="+mn-ea"/>
                          <a:cs typeface="+mn-cs"/>
                        </a:rPr>
                        <m:t>𝑏</m:t>
                      </m:r>
                    </m:e>
                    <m:sup>
                      <m:r>
                        <a:rPr lang="en-AU" sz="1100" i="1">
                          <a:solidFill>
                            <a:schemeClr val="dk1"/>
                          </a:solidFill>
                          <a:effectLst/>
                          <a:latin typeface="Cambria Math" panose="02040503050406030204" pitchFamily="18" charset="0"/>
                          <a:ea typeface="+mn-ea"/>
                          <a:cs typeface="+mn-cs"/>
                        </a:rPr>
                        <m:t>𝑛</m:t>
                      </m:r>
                    </m:sup>
                  </m:sSup>
                  <m:r>
                    <a:rPr lang="en-AU" sz="1100" i="1">
                      <a:solidFill>
                        <a:schemeClr val="dk1"/>
                      </a:solidFill>
                      <a:effectLst/>
                      <a:latin typeface="Cambria Math" panose="02040503050406030204" pitchFamily="18" charset="0"/>
                      <a:ea typeface="+mn-ea"/>
                      <a:cs typeface="+mn-cs"/>
                    </a:rPr>
                    <m:t>∧ </m:t>
                  </m:r>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 </m:t>
                  </m:r>
                  <m:r>
                    <a:rPr lang="en-AU" sz="1100" i="1">
                      <a:solidFill>
                        <a:schemeClr val="dk1"/>
                      </a:solidFill>
                      <a:effectLst/>
                      <a:latin typeface="Cambria Math" panose="02040503050406030204" pitchFamily="18" charset="0"/>
                      <a:ea typeface="+mn-ea"/>
                      <a:cs typeface="+mn-cs"/>
                    </a:rPr>
                    <m:t>𝑏</m:t>
                  </m:r>
                  <m:r>
                    <a:rPr lang="en-AU" sz="1100" i="1">
                      <a:solidFill>
                        <a:schemeClr val="dk1"/>
                      </a:solidFill>
                      <a:effectLst/>
                      <a:latin typeface="Cambria Math" panose="02040503050406030204" pitchFamily="18" charset="0"/>
                      <a:ea typeface="+mn-ea"/>
                      <a:cs typeface="+mn-cs"/>
                    </a:rPr>
                    <m:t>&gt;1}</m:t>
                  </m:r>
                </m:oMath>
              </a14:m>
              <a:r>
                <a:rPr lang="en-AU" sz="1100">
                  <a:solidFill>
                    <a:schemeClr val="dk1"/>
                  </a:solidFill>
                  <a:effectLst/>
                  <a:latin typeface="+mn-lt"/>
                  <a:ea typeface="+mn-ea"/>
                  <a:cs typeface="+mn-cs"/>
                </a:rPr>
                <a:t> are comprised  entirely of subsets of rotated sequences that are in themselves or in pairs, palindromically isomorphic about the matrix median and that the same holds true if the matrix is resorted to another column. For matrices with an odd number of rows this excludes</a:t>
              </a:r>
              <a:r>
                <a:rPr lang="en-AU" sz="1100" baseline="0">
                  <a:solidFill>
                    <a:schemeClr val="dk1"/>
                  </a:solidFill>
                  <a:effectLst/>
                  <a:latin typeface="+mn-lt"/>
                  <a:ea typeface="+mn-ea"/>
                  <a:cs typeface="+mn-cs"/>
                </a:rPr>
                <a:t> the median itself. </a:t>
              </a:r>
              <a:r>
                <a:rPr lang="en-AU" sz="1100">
                  <a:solidFill>
                    <a:schemeClr val="dk1"/>
                  </a:solidFill>
                  <a:effectLst/>
                  <a:latin typeface="+mn-lt"/>
                  <a:ea typeface="+mn-ea"/>
                  <a:cs typeface="+mn-cs"/>
                </a:rPr>
                <a:t>Further examples also demonstrate that the above also holds true for all the permutations of </a:t>
              </a:r>
              <a14:m>
                <m:oMath xmlns:m="http://schemas.openxmlformats.org/officeDocument/2006/math">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𝑆</m:t>
                  </m:r>
                  <m:d>
                    <m:dPr>
                      <m:ctrlPr>
                        <a:rPr lang="en-AU" sz="1100" i="1">
                          <a:solidFill>
                            <a:schemeClr val="dk1"/>
                          </a:solidFill>
                          <a:effectLst/>
                          <a:latin typeface="Cambria Math" panose="02040503050406030204" pitchFamily="18" charset="0"/>
                          <a:ea typeface="+mn-ea"/>
                          <a:cs typeface="+mn-cs"/>
                        </a:rPr>
                      </m:ctrlPr>
                    </m:dPr>
                    <m:e>
                      <m:sSub>
                        <m:sSubPr>
                          <m:ctrlPr>
                            <a:rPr lang="en-AU" sz="1100" i="1">
                              <a:solidFill>
                                <a:schemeClr val="dk1"/>
                              </a:solidFill>
                              <a:effectLst/>
                              <a:latin typeface="Cambria Math" panose="02040503050406030204" pitchFamily="18" charset="0"/>
                              <a:ea typeface="+mn-ea"/>
                              <a:cs typeface="+mn-cs"/>
                            </a:rPr>
                          </m:ctrlPr>
                        </m:sSubPr>
                        <m:e>
                          <m:r>
                            <a:rPr lang="en-AU" sz="1100" i="1">
                              <a:solidFill>
                                <a:schemeClr val="dk1"/>
                              </a:solidFill>
                              <a:effectLst/>
                              <a:latin typeface="Cambria Math" panose="02040503050406030204" pitchFamily="18" charset="0"/>
                              <a:ea typeface="+mn-ea"/>
                              <a:cs typeface="+mn-cs"/>
                            </a:rPr>
                            <m:t>𝑛</m:t>
                          </m:r>
                        </m:e>
                        <m:sub>
                          <m:r>
                            <a:rPr lang="en-AU" sz="1100" i="1">
                              <a:solidFill>
                                <a:schemeClr val="dk1"/>
                              </a:solidFill>
                              <a:effectLst/>
                              <a:latin typeface="Cambria Math" panose="02040503050406030204" pitchFamily="18" charset="0"/>
                              <a:ea typeface="+mn-ea"/>
                              <a:cs typeface="+mn-cs"/>
                            </a:rPr>
                            <m:t>𝑏</m:t>
                          </m:r>
                        </m:sub>
                      </m:sSub>
                    </m:e>
                  </m:d>
                  <m:d>
                    <m:dPr>
                      <m:begChr m:val="{"/>
                      <m:endChr m:val="|"/>
                      <m:ctrlPr>
                        <a:rPr lang="en-AU" sz="1100" i="1">
                          <a:solidFill>
                            <a:schemeClr val="dk1"/>
                          </a:solidFill>
                          <a:effectLst/>
                          <a:latin typeface="Cambria Math" panose="02040503050406030204" pitchFamily="18" charset="0"/>
                          <a:ea typeface="+mn-ea"/>
                          <a:cs typeface="+mn-cs"/>
                        </a:rPr>
                      </m:ctrlPr>
                    </m:dPr>
                    <m:e>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ℤ</m:t>
                      </m:r>
                      <m:r>
                        <a:rPr lang="en-AU" sz="1100" i="1">
                          <a:solidFill>
                            <a:schemeClr val="dk1"/>
                          </a:solidFill>
                          <a:effectLst/>
                          <a:latin typeface="Cambria Math" panose="02040503050406030204" pitchFamily="18" charset="0"/>
                          <a:ea typeface="+mn-ea"/>
                          <a:cs typeface="+mn-cs"/>
                        </a:rPr>
                        <m:t> </m:t>
                      </m:r>
                    </m:e>
                  </m:d>
                  <m:r>
                    <a:rPr lang="en-AU" sz="1100" i="1">
                      <a:solidFill>
                        <a:schemeClr val="dk1"/>
                      </a:solidFill>
                      <a:effectLst/>
                      <a:latin typeface="Cambria Math" panose="02040503050406030204" pitchFamily="18" charset="0"/>
                      <a:ea typeface="+mn-ea"/>
                      <a:cs typeface="+mn-cs"/>
                    </a:rPr>
                    <m:t>0, 1, …, </m:t>
                  </m:r>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m:t>
                  </m:r>
                </m:oMath>
              </a14:m>
              <a:r>
                <a:rPr lang="en-AU" sz="1100">
                  <a:solidFill>
                    <a:schemeClr val="dk1"/>
                  </a:solidFill>
                  <a:effectLst/>
                  <a:latin typeface="+mn-lt"/>
                  <a:ea typeface="+mn-ea"/>
                  <a:cs typeface="+mn-cs"/>
                </a:rPr>
                <a:t> and that they</a:t>
              </a:r>
              <a:r>
                <a:rPr lang="en-AU" sz="1100" baseline="0">
                  <a:solidFill>
                    <a:schemeClr val="dk1"/>
                  </a:solidFill>
                  <a:effectLst/>
                  <a:latin typeface="+mn-lt"/>
                  <a:ea typeface="+mn-ea"/>
                  <a:cs typeface="+mn-cs"/>
                </a:rPr>
                <a:t> are</a:t>
              </a:r>
              <a:r>
                <a:rPr lang="en-AU" sz="1100">
                  <a:solidFill>
                    <a:schemeClr val="dk1"/>
                  </a:solidFill>
                  <a:effectLst/>
                  <a:latin typeface="+mn-lt"/>
                  <a:ea typeface="+mn-ea"/>
                  <a:cs typeface="+mn-cs"/>
                </a:rPr>
                <a:t> a palindromically distributed subset of the former.</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Definitions</a:t>
              </a:r>
              <a:r>
                <a:rPr lang="en-AU" sz="1100">
                  <a:solidFill>
                    <a:schemeClr val="dk1"/>
                  </a:solidFill>
                  <a:effectLst/>
                  <a:latin typeface="+mn-lt"/>
                  <a:ea typeface="+mn-ea"/>
                  <a:cs typeface="+mn-cs"/>
                </a:rPr>
                <a:t>.</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Palindromic sequence</a:t>
              </a:r>
              <a:r>
                <a:rPr lang="en-AU" sz="1100">
                  <a:solidFill>
                    <a:schemeClr val="dk1"/>
                  </a:solidFill>
                  <a:effectLst/>
                  <a:latin typeface="+mn-lt"/>
                  <a:ea typeface="+mn-ea"/>
                  <a:cs typeface="+mn-cs"/>
                </a:rPr>
                <a:t> - A sequence of integers that is palindromic, e.g. (4, -5, 96, -5, 4). Note, this should not be confused with a set of palindromic numbers, e.g. (131, 141, 151).</a:t>
              </a:r>
            </a:p>
            <a:p>
              <a:endParaRPr lang="en-AU">
                <a:effectLst/>
              </a:endParaRPr>
            </a:p>
            <a:p>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n paired palindromic </a:t>
              </a:r>
              <a:r>
                <a:rPr lang="en-AU" sz="1100">
                  <a:solidFill>
                    <a:schemeClr val="dk1"/>
                  </a:solidFill>
                  <a:effectLst/>
                  <a:latin typeface="+mn-lt"/>
                  <a:ea typeface="+mn-ea"/>
                  <a:cs typeface="+mn-cs"/>
                </a:rPr>
                <a:t>sets - two sets each containing all possible rotations of a sequence that together are palindromically isomorphic about the median of the matrix with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denoting the number of matching pairs of rotations between the two sets. Combined the intervals between each sequence of the pairings form a palindromic sequence.</a:t>
              </a:r>
            </a:p>
            <a:p>
              <a:r>
                <a:rPr lang="en-AU" sz="1100">
                  <a:solidFill>
                    <a:schemeClr val="dk1"/>
                  </a:solidFill>
                  <a:effectLst/>
                  <a:latin typeface="+mn-lt"/>
                  <a:ea typeface="+mn-ea"/>
                  <a:cs typeface="+mn-cs"/>
                </a:rPr>
                <a:t> </a:t>
              </a:r>
            </a:p>
            <a:p>
              <a:r>
                <a:rPr lang="en-AU" sz="1100" b="1">
                  <a:solidFill>
                    <a:schemeClr val="dk1"/>
                  </a:solidFill>
                  <a:effectLst/>
                  <a:latin typeface="+mn-lt"/>
                  <a:ea typeface="+mn-ea"/>
                  <a:cs typeface="+mn-cs"/>
                </a:rPr>
                <a:t>n paired self-palindromic </a:t>
              </a:r>
              <a:r>
                <a:rPr lang="en-AU" sz="1100">
                  <a:solidFill>
                    <a:schemeClr val="dk1"/>
                  </a:solidFill>
                  <a:effectLst/>
                  <a:latin typeface="+mn-lt"/>
                  <a:ea typeface="+mn-ea"/>
                  <a:cs typeface="+mn-cs"/>
                </a:rPr>
                <a:t>set - a set containing all possible rotations of a sequence in which each rotation is palindromically isomorphic about the median of the matrix to another rotation within the same set with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denoting the number of matching pairs of rotations within the set. Combined the intervals between each sequence in the set form a palindromic sequence.</a:t>
              </a:r>
            </a:p>
            <a:p>
              <a:endParaRPr lang="en-AU">
                <a:effectLst/>
              </a:endParaRPr>
            </a:p>
            <a:p>
              <a:r>
                <a:rPr lang="en-AU" sz="1100" b="1">
                  <a:solidFill>
                    <a:schemeClr val="dk1"/>
                  </a:solidFill>
                  <a:effectLst/>
                  <a:latin typeface="+mn-lt"/>
                  <a:ea typeface="+mn-ea"/>
                  <a:cs typeface="+mn-cs"/>
                </a:rPr>
                <a:t>Sorted y</a:t>
              </a:r>
              <a:r>
                <a:rPr lang="en-AU" sz="1100">
                  <a:solidFill>
                    <a:schemeClr val="dk1"/>
                  </a:solidFill>
                  <a:effectLst/>
                  <a:latin typeface="+mn-lt"/>
                  <a:ea typeface="+mn-ea"/>
                  <a:cs typeface="+mn-cs"/>
                </a:rPr>
                <a:t> - the matrix is sorted smallest to largest on column </a:t>
              </a:r>
              <a:r>
                <a:rPr lang="en-AU" sz="1100" b="1">
                  <a:solidFill>
                    <a:schemeClr val="dk1"/>
                  </a:solidFill>
                  <a:effectLst/>
                  <a:latin typeface="+mn-lt"/>
                  <a:ea typeface="+mn-ea"/>
                  <a:cs typeface="+mn-cs"/>
                </a:rPr>
                <a:t>y</a:t>
              </a:r>
              <a:endParaRPr lang="en-AU">
                <a:effectLst/>
              </a:endParaRPr>
            </a:p>
            <a:p>
              <a:r>
                <a:rPr lang="en-AU" sz="1100">
                  <a:solidFill>
                    <a:schemeClr val="dk1"/>
                  </a:solidFill>
                  <a:effectLst/>
                  <a:latin typeface="+mn-lt"/>
                  <a:ea typeface="+mn-ea"/>
                  <a:cs typeface="+mn-cs"/>
                </a:rPr>
                <a:t>  </a:t>
              </a:r>
              <a:endParaRPr lang="en-AU">
                <a:effectLst/>
              </a:endParaRPr>
            </a:p>
            <a:p>
              <a:pPr eaLnBrk="1" fontAlgn="auto" latinLnBrk="0" hangingPunct="1"/>
              <a:r>
                <a:rPr lang="en-AU" sz="1100" b="1">
                  <a:solidFill>
                    <a:schemeClr val="dk1"/>
                  </a:solidFill>
                  <a:effectLst/>
                  <a:latin typeface="+mn-lt"/>
                  <a:ea typeface="+mn-ea"/>
                  <a:cs typeface="+mn-cs"/>
                </a:rPr>
                <a:t>Example</a:t>
              </a:r>
            </a:p>
            <a:p>
              <a:pPr eaLnBrk="1" fontAlgn="auto" latinLnBrk="0" hangingPunct="1"/>
              <a:endParaRPr lang="en-AU">
                <a:effectLst/>
              </a:endParaRPr>
            </a:p>
            <a:p>
              <a:r>
                <a:rPr lang="en-AU" sz="1100">
                  <a:solidFill>
                    <a:schemeClr val="dk1"/>
                  </a:solidFill>
                  <a:effectLst/>
                  <a:latin typeface="+mn-lt"/>
                  <a:ea typeface="+mn-ea"/>
                  <a:cs typeface="+mn-cs"/>
                </a:rPr>
                <a:t>Such a</a:t>
              </a:r>
              <a:r>
                <a:rPr lang="en-AU" sz="1100" baseline="0">
                  <a:solidFill>
                    <a:schemeClr val="dk1"/>
                  </a:solidFill>
                  <a:effectLst/>
                  <a:latin typeface="+mn-lt"/>
                  <a:ea typeface="+mn-ea"/>
                  <a:cs typeface="+mn-cs"/>
                </a:rPr>
                <a:t> matrix as expressed above </a:t>
              </a:r>
              <a:r>
                <a:rPr lang="en-AU" sz="1100">
                  <a:solidFill>
                    <a:schemeClr val="dk1"/>
                  </a:solidFill>
                  <a:effectLst/>
                  <a:latin typeface="+mn-lt"/>
                  <a:ea typeface="+mn-ea"/>
                  <a:cs typeface="+mn-cs"/>
                </a:rPr>
                <a:t>is defined in the tables to the left</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by the rows 0 to 15 as denoted by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in the purple table and the columns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0</a:t>
              </a:r>
              <a:r>
                <a:rPr lang="en-AU" sz="1100" baseline="0">
                  <a:solidFill>
                    <a:schemeClr val="dk1"/>
                  </a:solidFill>
                  <a:effectLst/>
                  <a:latin typeface="+mn-lt"/>
                  <a:ea typeface="+mn-ea"/>
                  <a:cs typeface="+mn-cs"/>
                </a:rPr>
                <a:t> to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in the blue table. Each row represents one value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and each column one digit of that value.  Any value that has less than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digits is left padded with zeroes. Initially the matrix is sorted such that the digits are arranged most significant to least from left to right and values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increasing from top to bottom, i.e. smallest to largest according to the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column which is the decimal equivalent of the value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There are two additional columns in this example.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is the offset of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values relative to the median </a:t>
              </a:r>
              <a:r>
                <a:rPr lang="en-AU" sz="1100" baseline="0">
                  <a:solidFill>
                    <a:schemeClr val="dk1"/>
                  </a:solidFill>
                  <a:effectLst/>
                  <a:latin typeface="+mn-lt"/>
                  <a:ea typeface="+mn-ea"/>
                  <a:cs typeface="+mn-cs"/>
                </a:rPr>
                <a:t> and </a:t>
              </a:r>
              <a:r>
                <a:rPr lang="en-AU" sz="1100" b="1" baseline="0">
                  <a:solidFill>
                    <a:schemeClr val="dk1"/>
                  </a:solidFill>
                  <a:effectLst/>
                  <a:latin typeface="+mn-lt"/>
                  <a:ea typeface="+mn-ea"/>
                  <a:cs typeface="+mn-cs"/>
                </a:rPr>
                <a:t>Interval</a:t>
              </a:r>
              <a:r>
                <a:rPr lang="en-AU" sz="1100" b="0">
                  <a:solidFill>
                    <a:schemeClr val="dk1"/>
                  </a:solidFill>
                  <a:effectLst/>
                  <a:latin typeface="+mn-lt"/>
                  <a:ea typeface="+mn-ea"/>
                  <a:cs typeface="+mn-cs"/>
                </a:rPr>
                <a:t> is</a:t>
              </a:r>
              <a:r>
                <a:rPr lang="en-AU" sz="1100" b="0" baseline="0">
                  <a:solidFill>
                    <a:schemeClr val="dk1"/>
                  </a:solidFill>
                  <a:effectLst/>
                  <a:latin typeface="+mn-lt"/>
                  <a:ea typeface="+mn-ea"/>
                  <a:cs typeface="+mn-cs"/>
                </a:rPr>
                <a:t> the difference between consecutive values of </a:t>
              </a:r>
              <a:r>
                <a:rPr lang="en-AU" sz="1100" b="1" i="1" baseline="0">
                  <a:solidFill>
                    <a:schemeClr val="dk1"/>
                  </a:solidFill>
                  <a:effectLst/>
                  <a:latin typeface="+mn-lt"/>
                  <a:ea typeface="+mn-ea"/>
                  <a:cs typeface="+mn-cs"/>
                </a:rPr>
                <a:t>X</a:t>
              </a:r>
              <a:r>
                <a:rPr lang="en-AU" sz="1100" b="0" baseline="0">
                  <a:solidFill>
                    <a:schemeClr val="dk1"/>
                  </a:solidFill>
                  <a:effectLst/>
                  <a:latin typeface="+mn-lt"/>
                  <a:ea typeface="+mn-ea"/>
                  <a:cs typeface="+mn-cs"/>
                </a:rPr>
                <a:t>.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and </a:t>
              </a:r>
              <a:r>
                <a:rPr lang="en-AU" sz="1100" b="1" i="1" baseline="0">
                  <a:solidFill>
                    <a:schemeClr val="dk1"/>
                  </a:solidFill>
                  <a:effectLst/>
                  <a:latin typeface="+mn-lt"/>
                  <a:ea typeface="+mn-ea"/>
                  <a:cs typeface="+mn-cs"/>
                </a:rPr>
                <a:t>X</a:t>
              </a:r>
              <a:r>
                <a:rPr lang="en-AU" sz="1100" b="1" baseline="0">
                  <a:solidFill>
                    <a:schemeClr val="dk1"/>
                  </a:solidFill>
                  <a:effectLst/>
                  <a:latin typeface="+mn-lt"/>
                  <a:ea typeface="+mn-ea"/>
                  <a:cs typeface="+mn-cs"/>
                </a:rPr>
                <a:t> </a:t>
              </a:r>
              <a:r>
                <a:rPr lang="en-AU" sz="1100">
                  <a:solidFill>
                    <a:schemeClr val="dk1"/>
                  </a:solidFill>
                  <a:effectLst/>
                  <a:latin typeface="+mn-lt"/>
                  <a:ea typeface="+mn-ea"/>
                  <a:cs typeface="+mn-cs"/>
                </a:rPr>
                <a:t>values change when the matrix is resorted to a different column to reflect the new row position of the value s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For matrices where </a:t>
              </a:r>
              <a:r>
                <a:rPr lang="en-AU" sz="1100" b="1" i="1">
                  <a:solidFill>
                    <a:schemeClr val="dk1"/>
                  </a:solidFill>
                  <a:effectLst/>
                  <a:latin typeface="+mn-lt"/>
                  <a:ea typeface="+mn-ea"/>
                  <a:cs typeface="+mn-cs"/>
                </a:rPr>
                <a:t>b = n</a:t>
              </a:r>
              <a:r>
                <a:rPr lang="en-AU" sz="1100">
                  <a:solidFill>
                    <a:schemeClr val="dk1"/>
                  </a:solidFill>
                  <a:effectLst/>
                  <a:latin typeface="+mn-lt"/>
                  <a:ea typeface="+mn-ea"/>
                  <a:cs typeface="+mn-cs"/>
                </a:rPr>
                <a:t> the </a:t>
              </a:r>
              <a:r>
                <a:rPr lang="en-AU" sz="1100" b="1">
                  <a:solidFill>
                    <a:schemeClr val="dk1"/>
                  </a:solidFill>
                  <a:effectLst/>
                  <a:latin typeface="+mn-lt"/>
                  <a:ea typeface="+mn-ea"/>
                  <a:cs typeface="+mn-cs"/>
                </a:rPr>
                <a:t>permutation</a:t>
              </a:r>
              <a:r>
                <a:rPr lang="en-AU" sz="1100">
                  <a:solidFill>
                    <a:schemeClr val="dk1"/>
                  </a:solidFill>
                  <a:effectLst/>
                  <a:latin typeface="+mn-lt"/>
                  <a:ea typeface="+mn-ea"/>
                  <a:cs typeface="+mn-cs"/>
                </a:rPr>
                <a:t> column is provided to identify the subset elements of all the permutations of </a:t>
              </a:r>
              <a14:m>
                <m:oMath xmlns:m="http://schemas.openxmlformats.org/officeDocument/2006/math">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𝑆</m:t>
                  </m:r>
                  <m:d>
                    <m:dPr>
                      <m:ctrlPr>
                        <a:rPr lang="en-AU" sz="1100" i="1">
                          <a:solidFill>
                            <a:schemeClr val="dk1"/>
                          </a:solidFill>
                          <a:effectLst/>
                          <a:latin typeface="Cambria Math" panose="02040503050406030204" pitchFamily="18" charset="0"/>
                          <a:ea typeface="+mn-ea"/>
                          <a:cs typeface="+mn-cs"/>
                        </a:rPr>
                      </m:ctrlPr>
                    </m:dPr>
                    <m:e>
                      <m:sSub>
                        <m:sSubPr>
                          <m:ctrlPr>
                            <a:rPr lang="en-AU" sz="1100" i="1">
                              <a:solidFill>
                                <a:schemeClr val="dk1"/>
                              </a:solidFill>
                              <a:effectLst/>
                              <a:latin typeface="Cambria Math" panose="02040503050406030204" pitchFamily="18" charset="0"/>
                              <a:ea typeface="+mn-ea"/>
                              <a:cs typeface="+mn-cs"/>
                            </a:rPr>
                          </m:ctrlPr>
                        </m:sSubPr>
                        <m:e>
                          <m:r>
                            <a:rPr lang="en-AU" sz="1100" i="1">
                              <a:solidFill>
                                <a:schemeClr val="dk1"/>
                              </a:solidFill>
                              <a:effectLst/>
                              <a:latin typeface="Cambria Math" panose="02040503050406030204" pitchFamily="18" charset="0"/>
                              <a:ea typeface="+mn-ea"/>
                              <a:cs typeface="+mn-cs"/>
                            </a:rPr>
                            <m:t>𝑛</m:t>
                          </m:r>
                        </m:e>
                        <m:sub>
                          <m:r>
                            <a:rPr lang="en-AU" sz="1100" i="1">
                              <a:solidFill>
                                <a:schemeClr val="dk1"/>
                              </a:solidFill>
                              <a:effectLst/>
                              <a:latin typeface="Cambria Math" panose="02040503050406030204" pitchFamily="18" charset="0"/>
                              <a:ea typeface="+mn-ea"/>
                              <a:cs typeface="+mn-cs"/>
                            </a:rPr>
                            <m:t>𝑏</m:t>
                          </m:r>
                        </m:sub>
                      </m:sSub>
                    </m:e>
                  </m:d>
                  <m:d>
                    <m:dPr>
                      <m:begChr m:val="{"/>
                      <m:endChr m:val="|"/>
                      <m:ctrlPr>
                        <a:rPr lang="en-AU" sz="1100" i="1">
                          <a:solidFill>
                            <a:schemeClr val="dk1"/>
                          </a:solidFill>
                          <a:effectLst/>
                          <a:latin typeface="Cambria Math" panose="02040503050406030204" pitchFamily="18" charset="0"/>
                          <a:ea typeface="+mn-ea"/>
                          <a:cs typeface="+mn-cs"/>
                        </a:rPr>
                      </m:ctrlPr>
                    </m:dPr>
                    <m:e>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m:t>
                      </m:r>
                      <m:r>
                        <a:rPr lang="en-AU" sz="1100" i="1">
                          <a:solidFill>
                            <a:schemeClr val="dk1"/>
                          </a:solidFill>
                          <a:effectLst/>
                          <a:latin typeface="Cambria Math" panose="02040503050406030204" pitchFamily="18" charset="0"/>
                          <a:ea typeface="+mn-ea"/>
                          <a:cs typeface="+mn-cs"/>
                        </a:rPr>
                        <m:t>ℤ</m:t>
                      </m:r>
                      <m:r>
                        <a:rPr lang="en-AU" sz="1100" i="1">
                          <a:solidFill>
                            <a:schemeClr val="dk1"/>
                          </a:solidFill>
                          <a:effectLst/>
                          <a:latin typeface="Cambria Math" panose="02040503050406030204" pitchFamily="18" charset="0"/>
                          <a:ea typeface="+mn-ea"/>
                          <a:cs typeface="+mn-cs"/>
                        </a:rPr>
                        <m:t> </m:t>
                      </m:r>
                    </m:e>
                  </m:d>
                  <m:r>
                    <a:rPr lang="en-AU" sz="1100" i="1">
                      <a:solidFill>
                        <a:schemeClr val="dk1"/>
                      </a:solidFill>
                      <a:effectLst/>
                      <a:latin typeface="Cambria Math" panose="02040503050406030204" pitchFamily="18" charset="0"/>
                      <a:ea typeface="+mn-ea"/>
                      <a:cs typeface="+mn-cs"/>
                    </a:rPr>
                    <m:t>0, 1, …, </m:t>
                  </m:r>
                  <m:r>
                    <a:rPr lang="en-AU" sz="1100" i="1">
                      <a:solidFill>
                        <a:schemeClr val="dk1"/>
                      </a:solidFill>
                      <a:effectLst/>
                      <a:latin typeface="Cambria Math" panose="02040503050406030204" pitchFamily="18" charset="0"/>
                      <a:ea typeface="+mn-ea"/>
                      <a:cs typeface="+mn-cs"/>
                    </a:rPr>
                    <m:t>𝑛</m:t>
                  </m:r>
                  <m:r>
                    <a:rPr lang="en-AU" sz="1100" i="1">
                      <a:solidFill>
                        <a:schemeClr val="dk1"/>
                      </a:solidFill>
                      <a:effectLst/>
                      <a:latin typeface="Cambria Math" panose="02040503050406030204" pitchFamily="18" charset="0"/>
                      <a:ea typeface="+mn-ea"/>
                      <a:cs typeface="+mn-cs"/>
                    </a:rPr>
                    <m:t>}</m:t>
                  </m:r>
                </m:oMath>
              </a14:m>
              <a:r>
                <a:rPr lang="en-AU" sz="1100">
                  <a:solidFill>
                    <a:schemeClr val="dk1"/>
                  </a:solidFill>
                  <a:effectLst/>
                  <a:latin typeface="+mn-lt"/>
                  <a:ea typeface="+mn-ea"/>
                  <a:cs typeface="+mn-cs"/>
                </a:rPr>
                <a:t>. For examples</a:t>
              </a:r>
              <a:r>
                <a:rPr lang="en-AU" sz="1100" baseline="0">
                  <a:solidFill>
                    <a:schemeClr val="dk1"/>
                  </a:solidFill>
                  <a:effectLst/>
                  <a:latin typeface="+mn-lt"/>
                  <a:ea typeface="+mn-ea"/>
                  <a:cs typeface="+mn-cs"/>
                </a:rPr>
                <a:t> showing permutations only</a:t>
              </a:r>
              <a14:m>
                <m:oMath xmlns:m="http://schemas.openxmlformats.org/officeDocument/2006/math">
                  <m:r>
                    <a:rPr lang="en-AU" sz="1100" b="0" i="0">
                      <a:solidFill>
                        <a:schemeClr val="dk1"/>
                      </a:solidFill>
                      <a:effectLst/>
                      <a:latin typeface="Cambria Math" panose="02040503050406030204" pitchFamily="18" charset="0"/>
                      <a:ea typeface="+mn-ea"/>
                      <a:cs typeface="+mn-cs"/>
                    </a:rPr>
                    <m:t> </m:t>
                  </m:r>
                </m:oMath>
              </a14:m>
              <a:r>
                <a:rPr lang="en-AU" sz="1100">
                  <a:solidFill>
                    <a:schemeClr val="dk1"/>
                  </a:solidFill>
                  <a:effectLst/>
                  <a:latin typeface="+mn-lt"/>
                  <a:ea typeface="+mn-ea"/>
                  <a:cs typeface="+mn-cs"/>
                </a:rPr>
                <a:t>an extra column called</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Fixed</a:t>
              </a:r>
              <a:r>
                <a:rPr lang="en-AU" sz="1100" baseline="0">
                  <a:solidFill>
                    <a:schemeClr val="dk1"/>
                  </a:solidFill>
                  <a:effectLst/>
                  <a:latin typeface="+mn-lt"/>
                  <a:ea typeface="+mn-ea"/>
                  <a:cs typeface="+mn-cs"/>
                </a:rPr>
                <a:t> is added. This shows the initial values of the Decimal column when the matrix is sorted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n</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and is used by the table to calculate the offset values.</a:t>
              </a:r>
            </a:p>
            <a:p>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Note: An observation of column sorting is that reversing the column sort order may not restore the matrix back to the former state. If for example the matrix is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then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0</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if it is again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then the matrix will not return to the previously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30000">
                  <a:solidFill>
                    <a:schemeClr val="dk1"/>
                  </a:solidFill>
                  <a:effectLst/>
                  <a:latin typeface="+mn-lt"/>
                  <a:ea typeface="+mn-ea"/>
                  <a:cs typeface="+mn-cs"/>
                </a:rPr>
                <a:t> </a:t>
              </a:r>
              <a:r>
                <a:rPr lang="en-AU" sz="1100">
                  <a:solidFill>
                    <a:schemeClr val="dk1"/>
                  </a:solidFill>
                  <a:effectLst/>
                  <a:latin typeface="+mn-lt"/>
                  <a:ea typeface="+mn-ea"/>
                  <a:cs typeface="+mn-cs"/>
                </a:rPr>
                <a:t>state. Sorting using the </a:t>
              </a:r>
              <a:r>
                <a:rPr lang="en-AU" sz="1100" b="1" i="1">
                  <a:solidFill>
                    <a:schemeClr val="dk1"/>
                  </a:solidFill>
                  <a:effectLst/>
                  <a:latin typeface="+mn-lt"/>
                  <a:ea typeface="+mn-ea"/>
                  <a:cs typeface="+mn-cs"/>
                </a:rPr>
                <a:t>X</a:t>
              </a:r>
              <a:r>
                <a:rPr lang="en-AU" sz="1100" b="0" baseline="0">
                  <a:solidFill>
                    <a:schemeClr val="dk1"/>
                  </a:solidFill>
                  <a:effectLst/>
                  <a:latin typeface="+mn-lt"/>
                  <a:ea typeface="+mn-ea"/>
                  <a:cs typeface="+mn-cs"/>
                </a:rPr>
                <a:t> </a:t>
              </a:r>
              <a:r>
                <a:rPr lang="en-AU" sz="1100" b="0">
                  <a:solidFill>
                    <a:schemeClr val="dk1"/>
                  </a:solidFill>
                  <a:effectLst/>
                  <a:latin typeface="+mn-lt"/>
                  <a:ea typeface="+mn-ea"/>
                  <a:cs typeface="+mn-cs"/>
                </a:rPr>
                <a:t>column</a:t>
              </a:r>
              <a:r>
                <a:rPr lang="en-AU" sz="1100">
                  <a:solidFill>
                    <a:schemeClr val="dk1"/>
                  </a:solidFill>
                  <a:effectLst/>
                  <a:latin typeface="+mn-lt"/>
                  <a:ea typeface="+mn-ea"/>
                  <a:cs typeface="+mn-cs"/>
                </a:rPr>
                <a:t> will always return the matrix to the initial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n-1</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state.</a:t>
              </a:r>
              <a:endParaRPr lang="en-AU" sz="1100" baseline="0">
                <a:solidFill>
                  <a:schemeClr val="dk1"/>
                </a:solidFill>
                <a:effectLst/>
                <a:latin typeface="+mn-lt"/>
                <a:ea typeface="+mn-ea"/>
                <a:cs typeface="+mn-cs"/>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As can be seen in this example there exist two sets forming a </a:t>
              </a:r>
              <a:r>
                <a:rPr lang="en-AU" sz="1100" b="1">
                  <a:solidFill>
                    <a:schemeClr val="dk1"/>
                  </a:solidFill>
                  <a:effectLst/>
                  <a:latin typeface="+mn-lt"/>
                  <a:ea typeface="+mn-ea"/>
                  <a:cs typeface="+mn-cs"/>
                </a:rPr>
                <a:t>4 paired palindromic set</a:t>
              </a:r>
              <a:r>
                <a:rPr lang="en-AU" sz="1100">
                  <a:solidFill>
                    <a:schemeClr val="dk1"/>
                  </a:solidFill>
                  <a:effectLst/>
                  <a:latin typeface="+mn-lt"/>
                  <a:ea typeface="+mn-ea"/>
                  <a:cs typeface="+mn-cs"/>
                </a:rPr>
                <a:t>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values (1, 2, 4, 8) and (7, 11, 13, 14) respectively which  when combined  is (1, 2, 4, 7, 8, 11, 13, 14) and the intervals form the palindromic sequence (1, 2, 3, 1, 3, 2, 1). Additionally the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values for the two sets form two palindromically isomorphic sequences which are (-7, -6, -4, 1) and (-1, 4, 6, 7).</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An example of a </a:t>
              </a:r>
              <a:r>
                <a:rPr lang="en-AU" sz="1100" b="1">
                  <a:solidFill>
                    <a:schemeClr val="dk1"/>
                  </a:solidFill>
                  <a:effectLst/>
                  <a:latin typeface="+mn-lt"/>
                  <a:ea typeface="+mn-ea"/>
                  <a:cs typeface="+mn-cs"/>
                </a:rPr>
                <a:t>2 paired self-palindromic set</a:t>
              </a:r>
              <a:r>
                <a:rPr lang="en-AU" sz="1100">
                  <a:solidFill>
                    <a:schemeClr val="dk1"/>
                  </a:solidFill>
                  <a:effectLst/>
                  <a:latin typeface="+mn-lt"/>
                  <a:ea typeface="+mn-ea"/>
                  <a:cs typeface="+mn-cs"/>
                </a:rPr>
                <a:t> would be that of decimal values (3, 6, 9, 12) with the intervals forming the palindromic sequence (3, 3, 3, 3).</a:t>
              </a:r>
              <a:r>
                <a:rPr lang="en-AU" sz="1100" baseline="0">
                  <a:solidFill>
                    <a:schemeClr val="dk1"/>
                  </a:solidFill>
                  <a:effectLst/>
                  <a:latin typeface="+mn-lt"/>
                  <a:ea typeface="+mn-ea"/>
                  <a:cs typeface="+mn-cs"/>
                </a:rPr>
                <a:t> In this case the</a:t>
              </a:r>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values are</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(-5, -2, 2, 5) and thus is in itself palindromically isomorphic.</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If the matrix is now </a:t>
              </a:r>
              <a:r>
                <a:rPr lang="en-AU" sz="1100" b="1" baseline="0">
                  <a:solidFill>
                    <a:schemeClr val="dk1"/>
                  </a:solidFill>
                  <a:effectLst/>
                  <a:latin typeface="+mn-lt"/>
                  <a:ea typeface="+mn-ea"/>
                  <a:cs typeface="+mn-cs"/>
                </a:rPr>
                <a:t>sorted</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2</a:t>
              </a:r>
              <a:r>
                <a:rPr lang="en-AU" sz="1100">
                  <a:solidFill>
                    <a:schemeClr val="dk1"/>
                  </a:solidFill>
                  <a:effectLst/>
                  <a:latin typeface="+mn-lt"/>
                  <a:ea typeface="+mn-ea"/>
                  <a:cs typeface="+mn-cs"/>
                </a:rPr>
                <a:t> it can be seen that although the individual sequence rotations of many of the sets have been repositioned relative to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neither the set type nor the pairings between </a:t>
              </a:r>
              <a:r>
                <a:rPr lang="en-AU" sz="1100" b="1">
                  <a:solidFill>
                    <a:schemeClr val="dk1"/>
                  </a:solidFill>
                  <a:effectLst/>
                  <a:latin typeface="+mn-lt"/>
                  <a:ea typeface="+mn-ea"/>
                  <a:cs typeface="+mn-cs"/>
                </a:rPr>
                <a:t>n paired palindromic sets</a:t>
              </a:r>
              <a:r>
                <a:rPr lang="en-AU" sz="1100">
                  <a:solidFill>
                    <a:schemeClr val="dk1"/>
                  </a:solidFill>
                  <a:effectLst/>
                  <a:latin typeface="+mn-lt"/>
                  <a:ea typeface="+mn-ea"/>
                  <a:cs typeface="+mn-cs"/>
                </a:rPr>
                <a:t> and within </a:t>
              </a:r>
              <a:r>
                <a:rPr lang="en-AU" sz="1100" b="1">
                  <a:solidFill>
                    <a:schemeClr val="dk1"/>
                  </a:solidFill>
                  <a:effectLst/>
                  <a:latin typeface="+mn-lt"/>
                  <a:ea typeface="+mn-ea"/>
                  <a:cs typeface="+mn-cs"/>
                </a:rPr>
                <a:t>n paired self-palindromic sets</a:t>
              </a:r>
              <a:r>
                <a:rPr lang="en-AU" sz="1100">
                  <a:solidFill>
                    <a:schemeClr val="dk1"/>
                  </a:solidFill>
                  <a:effectLst/>
                  <a:latin typeface="+mn-lt"/>
                  <a:ea typeface="+mn-ea"/>
                  <a:cs typeface="+mn-cs"/>
                </a:rPr>
                <a:t> have changed. Additionally, the </a:t>
              </a:r>
              <a:r>
                <a:rPr lang="en-AU" sz="1100" b="1">
                  <a:solidFill>
                    <a:schemeClr val="dk1"/>
                  </a:solidFill>
                  <a:effectLst/>
                  <a:latin typeface="+mn-lt"/>
                  <a:ea typeface="+mn-ea"/>
                  <a:cs typeface="+mn-cs"/>
                </a:rPr>
                <a:t>Interval </a:t>
              </a:r>
              <a:r>
                <a:rPr lang="en-AU" sz="1100" b="0">
                  <a:solidFill>
                    <a:schemeClr val="dk1"/>
                  </a:solidFill>
                  <a:effectLst/>
                  <a:latin typeface="+mn-lt"/>
                  <a:ea typeface="+mn-ea"/>
                  <a:cs typeface="+mn-cs"/>
                </a:rPr>
                <a:t>column</a:t>
              </a:r>
              <a:r>
                <a:rPr lang="en-AU" sz="1100">
                  <a:solidFill>
                    <a:schemeClr val="dk1"/>
                  </a:solidFill>
                  <a:effectLst/>
                  <a:latin typeface="+mn-lt"/>
                  <a:ea typeface="+mn-ea"/>
                  <a:cs typeface="+mn-cs"/>
                </a:rPr>
                <a:t> in total is a sequence that is in itself palindormically isomorphic about the median irrespective of the sort column</a:t>
              </a:r>
              <a:r>
                <a:rPr lang="en-AU" sz="1100" baseline="0">
                  <a:solidFill>
                    <a:schemeClr val="dk1"/>
                  </a:solidFill>
                  <a:effectLst/>
                  <a:latin typeface="+mn-lt"/>
                  <a:ea typeface="+mn-ea"/>
                  <a:cs typeface="+mn-cs"/>
                </a:rPr>
                <a:t> and t</a:t>
              </a:r>
              <a:r>
                <a:rPr lang="en-AU" sz="1100">
                  <a:solidFill>
                    <a:schemeClr val="dk1"/>
                  </a:solidFill>
                  <a:effectLst/>
                  <a:latin typeface="+mn-lt"/>
                  <a:ea typeface="+mn-ea"/>
                  <a:cs typeface="+mn-cs"/>
                </a:rPr>
                <a:t>he sum of the intervals is always </a:t>
              </a:r>
              <a14:m>
                <m:oMath xmlns:m="http://schemas.openxmlformats.org/officeDocument/2006/math">
                  <m:sSup>
                    <m:sSupPr>
                      <m:ctrlPr>
                        <a:rPr lang="en-AU" sz="1100" i="1">
                          <a:solidFill>
                            <a:schemeClr val="dk1"/>
                          </a:solidFill>
                          <a:effectLst/>
                          <a:latin typeface="Cambria Math" panose="02040503050406030204" pitchFamily="18" charset="0"/>
                          <a:ea typeface="+mn-ea"/>
                          <a:cs typeface="+mn-cs"/>
                        </a:rPr>
                      </m:ctrlPr>
                    </m:sSupPr>
                    <m:e>
                      <m:r>
                        <a:rPr lang="en-AU" sz="1100" i="1">
                          <a:solidFill>
                            <a:schemeClr val="dk1"/>
                          </a:solidFill>
                          <a:effectLst/>
                          <a:latin typeface="Cambria Math" panose="02040503050406030204" pitchFamily="18" charset="0"/>
                          <a:ea typeface="+mn-ea"/>
                          <a:cs typeface="+mn-cs"/>
                        </a:rPr>
                        <m:t>𝑏</m:t>
                      </m:r>
                    </m:e>
                    <m:sup>
                      <m:r>
                        <a:rPr lang="en-AU" sz="1100" i="1">
                          <a:solidFill>
                            <a:schemeClr val="dk1"/>
                          </a:solidFill>
                          <a:effectLst/>
                          <a:latin typeface="Cambria Math" panose="02040503050406030204" pitchFamily="18" charset="0"/>
                          <a:ea typeface="+mn-ea"/>
                          <a:cs typeface="+mn-cs"/>
                        </a:rPr>
                        <m:t>𝑛</m:t>
                      </m:r>
                    </m:sup>
                  </m:sSup>
                  <m:r>
                    <a:rPr lang="en-AU" sz="1100" b="0" i="1">
                      <a:solidFill>
                        <a:schemeClr val="dk1"/>
                      </a:solidFill>
                      <a:effectLst/>
                      <a:latin typeface="Cambria Math" panose="02040503050406030204" pitchFamily="18" charset="0"/>
                      <a:ea typeface="+mn-ea"/>
                      <a:cs typeface="+mn-cs"/>
                    </a:rPr>
                    <m:t>−1</m:t>
                  </m:r>
                </m:oMath>
              </a14:m>
              <a:r>
                <a:rPr lang="en-AU" sz="1100" b="0">
                  <a:solidFill>
                    <a:schemeClr val="dk1"/>
                  </a:solidFill>
                  <a:effectLst/>
                  <a:latin typeface="+mn-lt"/>
                  <a:ea typeface="+mn-ea"/>
                  <a:cs typeface="+mn-cs"/>
                </a:rPr>
                <a:t> .</a:t>
              </a:r>
              <a:endParaRPr lang="en-AU" sz="1100">
                <a:solidFill>
                  <a:schemeClr val="dk1"/>
                </a:solidFill>
                <a:effectLst/>
                <a:latin typeface="+mn-lt"/>
                <a:ea typeface="+mn-ea"/>
                <a:cs typeface="+mn-cs"/>
              </a:endParaRPr>
            </a:p>
            <a:p>
              <a:endParaRPr lang="en-AU">
                <a:effectLst/>
              </a:endParaRPr>
            </a:p>
            <a:p>
              <a:pPr eaLnBrk="1" fontAlgn="auto" latinLnBrk="0" hangingPunct="1"/>
              <a:r>
                <a:rPr lang="en-AU" sz="1100">
                  <a:solidFill>
                    <a:schemeClr val="dk1"/>
                  </a:solidFill>
                  <a:effectLst/>
                  <a:latin typeface="+mn-lt"/>
                  <a:ea typeface="+mn-ea"/>
                  <a:cs typeface="+mn-cs"/>
                </a:rPr>
                <a:t>Several more tables (not shown here)  are presented on each worksheet. A third table  lists the </a:t>
              </a:r>
              <a:r>
                <a:rPr lang="en-AU" sz="1100" b="1">
                  <a:solidFill>
                    <a:schemeClr val="dk1"/>
                  </a:solidFill>
                  <a:effectLst/>
                  <a:latin typeface="+mn-lt"/>
                  <a:ea typeface="+mn-ea"/>
                  <a:cs typeface="+mn-cs"/>
                </a:rPr>
                <a:t>palindromic</a:t>
              </a:r>
              <a:r>
                <a:rPr lang="en-AU" sz="1100">
                  <a:solidFill>
                    <a:schemeClr val="dk1"/>
                  </a:solidFill>
                  <a:effectLst/>
                  <a:latin typeface="+mn-lt"/>
                  <a:ea typeface="+mn-ea"/>
                  <a:cs typeface="+mn-cs"/>
                </a:rPr>
                <a:t> sets that exist in the matrix along with a colour legend to the right to assist with identification. For </a:t>
              </a:r>
              <a:r>
                <a:rPr lang="en-AU" sz="1100" b="1">
                  <a:solidFill>
                    <a:schemeClr val="dk1"/>
                  </a:solidFill>
                  <a:effectLst/>
                  <a:latin typeface="+mn-lt"/>
                  <a:ea typeface="+mn-ea"/>
                  <a:cs typeface="+mn-cs"/>
                </a:rPr>
                <a:t>n paired palindromic </a:t>
              </a:r>
              <a:r>
                <a:rPr lang="en-AU" sz="1100">
                  <a:solidFill>
                    <a:schemeClr val="dk1"/>
                  </a:solidFill>
                  <a:effectLst/>
                  <a:latin typeface="+mn-lt"/>
                  <a:ea typeface="+mn-ea"/>
                  <a:cs typeface="+mn-cs"/>
                </a:rPr>
                <a:t>sets each set is individually coloured as denoted by an </a:t>
              </a:r>
              <a:r>
                <a:rPr lang="en-AU" sz="1100" b="1">
                  <a:solidFill>
                    <a:schemeClr val="dk1"/>
                  </a:solidFill>
                  <a:effectLst/>
                  <a:latin typeface="+mn-lt"/>
                  <a:ea typeface="+mn-ea"/>
                  <a:cs typeface="+mn-cs"/>
                </a:rPr>
                <a:t>AB</a:t>
              </a:r>
              <a:r>
                <a:rPr lang="en-AU" sz="1100">
                  <a:solidFill>
                    <a:schemeClr val="dk1"/>
                  </a:solidFill>
                  <a:effectLst/>
                  <a:latin typeface="+mn-lt"/>
                  <a:ea typeface="+mn-ea"/>
                  <a:cs typeface="+mn-cs"/>
                </a:rPr>
                <a:t> pair while </a:t>
              </a:r>
              <a:r>
                <a:rPr lang="en-AU" sz="1100" b="1">
                  <a:solidFill>
                    <a:schemeClr val="dk1"/>
                  </a:solidFill>
                  <a:effectLst/>
                  <a:latin typeface="+mn-lt"/>
                  <a:ea typeface="+mn-ea"/>
                  <a:cs typeface="+mn-cs"/>
                </a:rPr>
                <a:t>n paired self-palindromic</a:t>
              </a:r>
              <a:r>
                <a:rPr lang="en-AU" sz="1100">
                  <a:solidFill>
                    <a:schemeClr val="dk1"/>
                  </a:solidFill>
                  <a:effectLst/>
                  <a:latin typeface="+mn-lt"/>
                  <a:ea typeface="+mn-ea"/>
                  <a:cs typeface="+mn-cs"/>
                </a:rPr>
                <a:t> sets are coloured as denoted by a single </a:t>
              </a:r>
              <a:r>
                <a:rPr lang="en-AU" sz="1100" b="1">
                  <a:solidFill>
                    <a:schemeClr val="dk1"/>
                  </a:solidFill>
                  <a:effectLst/>
                  <a:latin typeface="+mn-lt"/>
                  <a:ea typeface="+mn-ea"/>
                  <a:cs typeface="+mn-cs"/>
                </a:rPr>
                <a:t>S</a:t>
              </a:r>
              <a:r>
                <a:rPr lang="en-AU" sz="1100">
                  <a:solidFill>
                    <a:schemeClr val="dk1"/>
                  </a:solidFill>
                  <a:effectLst/>
                  <a:latin typeface="+mn-lt"/>
                  <a:ea typeface="+mn-ea"/>
                  <a:cs typeface="+mn-cs"/>
                </a:rPr>
                <a:t>. To the right of that, a table is presented for each </a:t>
              </a:r>
              <a:r>
                <a:rPr lang="en-AU" sz="1100" b="1">
                  <a:solidFill>
                    <a:schemeClr val="dk1"/>
                  </a:solidFill>
                  <a:effectLst/>
                  <a:latin typeface="+mn-lt"/>
                  <a:ea typeface="+mn-ea"/>
                  <a:cs typeface="+mn-cs"/>
                </a:rPr>
                <a:t>palindromic</a:t>
              </a:r>
              <a:r>
                <a:rPr lang="en-AU" sz="1100">
                  <a:solidFill>
                    <a:schemeClr val="dk1"/>
                  </a:solidFill>
                  <a:effectLst/>
                  <a:latin typeface="+mn-lt"/>
                  <a:ea typeface="+mn-ea"/>
                  <a:cs typeface="+mn-cs"/>
                </a:rPr>
                <a:t> set that includes columns for </a:t>
              </a:r>
              <a:r>
                <a:rPr lang="en-AU" sz="1100" b="1">
                  <a:solidFill>
                    <a:schemeClr val="dk1"/>
                  </a:solidFill>
                  <a:effectLst/>
                  <a:latin typeface="+mn-lt"/>
                  <a:ea typeface="+mn-ea"/>
                  <a:cs typeface="+mn-cs"/>
                </a:rPr>
                <a:t>Interval</a:t>
              </a:r>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Offset</a:t>
              </a:r>
              <a:r>
                <a:rPr lang="en-AU" sz="1100">
                  <a:solidFill>
                    <a:schemeClr val="dk1"/>
                  </a:solidFill>
                  <a:effectLst/>
                  <a:latin typeface="+mn-lt"/>
                  <a:ea typeface="+mn-ea"/>
                  <a:cs typeface="+mn-cs"/>
                </a:rPr>
                <a:t>,</a:t>
              </a:r>
              <a:r>
                <a:rPr lang="en-AU" sz="1100" baseline="0">
                  <a:solidFill>
                    <a:schemeClr val="dk1"/>
                  </a:solidFill>
                  <a:effectLst/>
                  <a:latin typeface="+mn-lt"/>
                  <a:ea typeface="+mn-ea"/>
                  <a:cs typeface="+mn-cs"/>
                </a:rPr>
                <a:t> </a:t>
              </a:r>
              <a:r>
                <a:rPr lang="en-AU" sz="1100" b="1" i="1" baseline="0">
                  <a:solidFill>
                    <a:schemeClr val="dk1"/>
                  </a:solidFill>
                  <a:effectLst/>
                  <a:latin typeface="+mn-lt"/>
                  <a:ea typeface="+mn-ea"/>
                  <a:cs typeface="+mn-cs"/>
                </a:rPr>
                <a:t>X, S</a:t>
              </a:r>
              <a:r>
                <a:rPr lang="en-AU" sz="1100" b="1">
                  <a:solidFill>
                    <a:schemeClr val="dk1"/>
                  </a:solidFill>
                  <a:effectLst/>
                  <a:latin typeface="+mn-lt"/>
                  <a:ea typeface="+mn-ea"/>
                  <a:cs typeface="+mn-cs"/>
                </a:rPr>
                <a:t>equence</a:t>
              </a:r>
              <a:r>
                <a:rPr lang="en-AU" sz="1100" b="0" baseline="0">
                  <a:solidFill>
                    <a:schemeClr val="dk1"/>
                  </a:solidFill>
                  <a:effectLst/>
                  <a:latin typeface="+mn-lt"/>
                  <a:ea typeface="+mn-ea"/>
                  <a:cs typeface="+mn-cs"/>
                </a:rPr>
                <a:t> and where an </a:t>
              </a:r>
              <a:r>
                <a:rPr lang="en-AU" sz="1100" b="1" baseline="0">
                  <a:solidFill>
                    <a:schemeClr val="dk1"/>
                  </a:solidFill>
                  <a:effectLst/>
                  <a:latin typeface="+mn-lt"/>
                  <a:ea typeface="+mn-ea"/>
                  <a:cs typeface="+mn-cs"/>
                </a:rPr>
                <a:t>n paired palindromic</a:t>
              </a:r>
              <a:r>
                <a:rPr lang="en-AU" sz="1100" baseline="0">
                  <a:solidFill>
                    <a:schemeClr val="dk1"/>
                  </a:solidFill>
                  <a:effectLst/>
                  <a:latin typeface="+mn-lt"/>
                  <a:ea typeface="+mn-ea"/>
                  <a:cs typeface="+mn-cs"/>
                </a:rPr>
                <a:t> is asymetrically distributed about the median a </a:t>
              </a:r>
              <a:r>
                <a:rPr lang="en-AU" sz="1100" b="1" i="1" baseline="0">
                  <a:solidFill>
                    <a:schemeClr val="dk1"/>
                  </a:solidFill>
                  <a:effectLst/>
                  <a:latin typeface="+mn-lt"/>
                  <a:ea typeface="+mn-ea"/>
                  <a:cs typeface="+mn-cs"/>
                </a:rPr>
                <a:t>k</a:t>
              </a:r>
              <a:r>
                <a:rPr lang="en-AU" sz="1100" baseline="0">
                  <a:solidFill>
                    <a:schemeClr val="dk1"/>
                  </a:solidFill>
                  <a:effectLst/>
                  <a:latin typeface="+mn-lt"/>
                  <a:ea typeface="+mn-ea"/>
                  <a:cs typeface="+mn-cs"/>
                </a:rPr>
                <a:t> column</a:t>
              </a:r>
              <a:r>
                <a:rPr lang="en-AU" sz="1100">
                  <a:solidFill>
                    <a:schemeClr val="dk1"/>
                  </a:solidFill>
                  <a:effectLst/>
                  <a:latin typeface="+mn-lt"/>
                  <a:ea typeface="+mn-ea"/>
                  <a:cs typeface="+mn-cs"/>
                </a:rPr>
                <a:t>.</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O</a:t>
              </a:r>
              <a:r>
                <a:rPr lang="en-AU" sz="1100" b="1">
                  <a:solidFill>
                    <a:schemeClr val="dk1"/>
                  </a:solidFill>
                  <a:effectLst/>
                  <a:latin typeface="+mn-lt"/>
                  <a:ea typeface="+mn-ea"/>
                  <a:cs typeface="+mn-cs"/>
                </a:rPr>
                <a:t>ffset</a:t>
              </a:r>
              <a:r>
                <a:rPr lang="en-AU" sz="1100">
                  <a:solidFill>
                    <a:schemeClr val="dk1"/>
                  </a:solidFill>
                  <a:effectLst/>
                  <a:latin typeface="+mn-lt"/>
                  <a:ea typeface="+mn-ea"/>
                  <a:cs typeface="+mn-cs"/>
                </a:rPr>
                <a:t> and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are the</a:t>
              </a:r>
              <a:r>
                <a:rPr lang="en-AU" sz="1100" baseline="0">
                  <a:solidFill>
                    <a:schemeClr val="dk1"/>
                  </a:solidFill>
                  <a:effectLst/>
                  <a:latin typeface="+mn-lt"/>
                  <a:ea typeface="+mn-ea"/>
                  <a:cs typeface="+mn-cs"/>
                </a:rPr>
                <a:t> same as that for the sequence in the main table and </a:t>
              </a:r>
              <a:r>
                <a:rPr lang="en-AU" sz="1100" b="1" baseline="0">
                  <a:solidFill>
                    <a:schemeClr val="dk1"/>
                  </a:solidFill>
                  <a:effectLst/>
                  <a:latin typeface="+mn-lt"/>
                  <a:ea typeface="+mn-ea"/>
                  <a:cs typeface="+mn-cs"/>
                </a:rPr>
                <a:t>Interval</a:t>
              </a:r>
              <a:r>
                <a:rPr lang="en-AU" sz="1100" baseline="0">
                  <a:solidFill>
                    <a:schemeClr val="dk1"/>
                  </a:solidFill>
                  <a:effectLst/>
                  <a:latin typeface="+mn-lt"/>
                  <a:ea typeface="+mn-ea"/>
                  <a:cs typeface="+mn-cs"/>
                </a:rPr>
                <a:t> is the difference between the offsets. Each cell in the </a:t>
              </a:r>
              <a:r>
                <a:rPr lang="en-AU" sz="1100" b="1" baseline="0">
                  <a:solidFill>
                    <a:schemeClr val="dk1"/>
                  </a:solidFill>
                  <a:effectLst/>
                  <a:latin typeface="+mn-lt"/>
                  <a:ea typeface="+mn-ea"/>
                  <a:cs typeface="+mn-cs"/>
                </a:rPr>
                <a:t>Sequence</a:t>
              </a:r>
              <a:r>
                <a:rPr lang="en-AU" sz="1100" baseline="0">
                  <a:solidFill>
                    <a:schemeClr val="dk1"/>
                  </a:solidFill>
                  <a:effectLst/>
                  <a:latin typeface="+mn-lt"/>
                  <a:ea typeface="+mn-ea"/>
                  <a:cs typeface="+mn-cs"/>
                </a:rPr>
                <a:t> column combines the i</a:t>
              </a:r>
              <a:r>
                <a:rPr lang="en-AU" sz="1100">
                  <a:solidFill>
                    <a:schemeClr val="dk1"/>
                  </a:solidFill>
                  <a:effectLst/>
                  <a:latin typeface="+mn-lt"/>
                  <a:ea typeface="+mn-ea"/>
                  <a:cs typeface="+mn-cs"/>
                </a:rPr>
                <a:t>ndividual d</a:t>
              </a:r>
              <a:r>
                <a:rPr lang="en-AU" sz="1100" baseline="0">
                  <a:solidFill>
                    <a:schemeClr val="dk1"/>
                  </a:solidFill>
                  <a:effectLst/>
                  <a:latin typeface="+mn-lt"/>
                  <a:ea typeface="+mn-ea"/>
                  <a:cs typeface="+mn-cs"/>
                </a:rPr>
                <a:t>igits</a:t>
              </a:r>
              <a:r>
                <a:rPr lang="en-AU" sz="1100">
                  <a:solidFill>
                    <a:schemeClr val="dk1"/>
                  </a:solidFill>
                  <a:effectLst/>
                  <a:latin typeface="+mn-lt"/>
                  <a:ea typeface="+mn-ea"/>
                  <a:cs typeface="+mn-cs"/>
                </a:rPr>
                <a:t>  from a sequence in the main table to form a word suffixed with the </a:t>
              </a:r>
              <a:r>
                <a:rPr lang="en-AU" sz="1100" b="1">
                  <a:solidFill>
                    <a:schemeClr val="dk1"/>
                  </a:solidFill>
                  <a:effectLst/>
                  <a:latin typeface="+mn-lt"/>
                  <a:ea typeface="+mn-ea"/>
                  <a:cs typeface="+mn-cs"/>
                </a:rPr>
                <a:t>AB</a:t>
              </a:r>
              <a:r>
                <a:rPr lang="en-AU" sz="1100">
                  <a:solidFill>
                    <a:schemeClr val="dk1"/>
                  </a:solidFill>
                  <a:effectLst/>
                  <a:latin typeface="+mn-lt"/>
                  <a:ea typeface="+mn-ea"/>
                  <a:cs typeface="+mn-cs"/>
                </a:rPr>
                <a:t> or </a:t>
              </a:r>
              <a:r>
                <a:rPr lang="en-AU" sz="1100" b="1">
                  <a:solidFill>
                    <a:schemeClr val="dk1"/>
                  </a:solidFill>
                  <a:effectLst/>
                  <a:latin typeface="+mn-lt"/>
                  <a:ea typeface="+mn-ea"/>
                  <a:cs typeface="+mn-cs"/>
                </a:rPr>
                <a:t>S</a:t>
              </a:r>
              <a:r>
                <a:rPr lang="en-AU" sz="1100">
                  <a:solidFill>
                    <a:schemeClr val="dk1"/>
                  </a:solidFill>
                  <a:effectLst/>
                  <a:latin typeface="+mn-lt"/>
                  <a:ea typeface="+mn-ea"/>
                  <a:cs typeface="+mn-cs"/>
                </a:rPr>
                <a:t> designation.</a:t>
              </a:r>
              <a:r>
                <a:rPr lang="en-AU" sz="1100" baseline="0">
                  <a:solidFill>
                    <a:schemeClr val="dk1"/>
                  </a:solidFill>
                  <a:effectLst/>
                  <a:latin typeface="+mn-lt"/>
                  <a:ea typeface="+mn-ea"/>
                  <a:cs typeface="+mn-cs"/>
                </a:rPr>
                <a:t> The </a:t>
              </a:r>
              <a:r>
                <a:rPr lang="en-AU" sz="1100" b="1" i="1">
                  <a:solidFill>
                    <a:schemeClr val="dk1"/>
                  </a:solidFill>
                  <a:effectLst/>
                  <a:latin typeface="+mn-lt"/>
                  <a:ea typeface="+mn-ea"/>
                  <a:cs typeface="+mn-cs"/>
                </a:rPr>
                <a:t>k</a:t>
              </a:r>
              <a:r>
                <a:rPr lang="en-AU" sz="1100">
                  <a:solidFill>
                    <a:schemeClr val="dk1"/>
                  </a:solidFill>
                  <a:effectLst/>
                  <a:latin typeface="+mn-lt"/>
                  <a:ea typeface="+mn-ea"/>
                  <a:cs typeface="+mn-cs"/>
                </a:rPr>
                <a:t> column is</a:t>
              </a:r>
              <a:r>
                <a:rPr lang="en-AU" sz="1100" baseline="0">
                  <a:solidFill>
                    <a:schemeClr val="dk1"/>
                  </a:solidFill>
                  <a:effectLst/>
                  <a:latin typeface="+mn-lt"/>
                  <a:ea typeface="+mn-ea"/>
                  <a:cs typeface="+mn-cs"/>
                </a:rPr>
                <a:t> the order when each </a:t>
              </a:r>
              <a:r>
                <a:rPr lang="en-AU" sz="1100" b="1" baseline="0">
                  <a:solidFill>
                    <a:schemeClr val="dk1"/>
                  </a:solidFill>
                  <a:effectLst/>
                  <a:latin typeface="+mn-lt"/>
                  <a:ea typeface="+mn-ea"/>
                  <a:cs typeface="+mn-cs"/>
                </a:rPr>
                <a:t>A</a:t>
              </a:r>
              <a:r>
                <a:rPr lang="en-AU" sz="1100" baseline="0">
                  <a:solidFill>
                    <a:schemeClr val="dk1"/>
                  </a:solidFill>
                  <a:effectLst/>
                  <a:latin typeface="+mn-lt"/>
                  <a:ea typeface="+mn-ea"/>
                  <a:cs typeface="+mn-cs"/>
                </a:rPr>
                <a:t> and </a:t>
              </a:r>
              <a:r>
                <a:rPr lang="en-AU" sz="1100" b="1" baseline="0">
                  <a:solidFill>
                    <a:schemeClr val="dk1"/>
                  </a:solidFill>
                  <a:effectLst/>
                  <a:latin typeface="+mn-lt"/>
                  <a:ea typeface="+mn-ea"/>
                  <a:cs typeface="+mn-cs"/>
                </a:rPr>
                <a:t>B</a:t>
              </a:r>
              <a:r>
                <a:rPr lang="en-AU" sz="1100" baseline="0">
                  <a:solidFill>
                    <a:schemeClr val="dk1"/>
                  </a:solidFill>
                  <a:effectLst/>
                  <a:latin typeface="+mn-lt"/>
                  <a:ea typeface="+mn-ea"/>
                  <a:cs typeface="+mn-cs"/>
                </a:rPr>
                <a:t> subset of an </a:t>
              </a:r>
              <a:r>
                <a:rPr lang="en-AU" sz="1100" b="1" baseline="0">
                  <a:solidFill>
                    <a:schemeClr val="dk1"/>
                  </a:solidFill>
                  <a:effectLst/>
                  <a:latin typeface="+mn-lt"/>
                  <a:ea typeface="+mn-ea"/>
                  <a:cs typeface="+mn-cs"/>
                </a:rPr>
                <a:t>n paired palindromic</a:t>
              </a:r>
              <a:r>
                <a:rPr lang="en-AU" sz="1100" baseline="0">
                  <a:solidFill>
                    <a:schemeClr val="dk1"/>
                  </a:solidFill>
                  <a:effectLst/>
                  <a:latin typeface="+mn-lt"/>
                  <a:ea typeface="+mn-ea"/>
                  <a:cs typeface="+mn-cs"/>
                </a:rPr>
                <a:t> set is sorted separately. </a:t>
              </a:r>
              <a:r>
                <a:rPr lang="en-AU" sz="1100">
                  <a:solidFill>
                    <a:schemeClr val="dk1"/>
                  </a:solidFill>
                  <a:effectLst/>
                  <a:latin typeface="+mn-lt"/>
                  <a:ea typeface="+mn-ea"/>
                  <a:cs typeface="+mn-cs"/>
                </a:rPr>
                <a:t>These tables provide an additional way of demonstrating the palidromicity of the subsets as the values in these tables change to reflect the state of the main table when it is sorted to a different column. Additionally </a:t>
              </a:r>
              <a:r>
                <a:rPr lang="en-AU" sz="1100" b="1">
                  <a:solidFill>
                    <a:schemeClr val="dk1"/>
                  </a:solidFill>
                  <a:effectLst/>
                  <a:latin typeface="+mn-lt"/>
                  <a:ea typeface="+mn-ea"/>
                  <a:cs typeface="+mn-cs"/>
                </a:rPr>
                <a:t>Offset</a:t>
              </a:r>
              <a:r>
                <a:rPr lang="en-AU" sz="1100">
                  <a:solidFill>
                    <a:schemeClr val="dk1"/>
                  </a:solidFill>
                  <a:effectLst/>
                  <a:latin typeface="+mn-lt"/>
                  <a:ea typeface="+mn-ea"/>
                  <a:cs typeface="+mn-cs"/>
                </a:rPr>
                <a:t>,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t>
              </a:r>
              <a:r>
                <a:rPr lang="en-AU" sz="1100" b="1" i="1">
                  <a:solidFill>
                    <a:schemeClr val="dk1"/>
                  </a:solidFill>
                  <a:effectLst/>
                  <a:latin typeface="+mn-lt"/>
                  <a:ea typeface="+mn-ea"/>
                  <a:cs typeface="+mn-cs"/>
                </a:rPr>
                <a:t>k</a:t>
              </a:r>
              <a:r>
                <a:rPr lang="en-AU" sz="1100">
                  <a:solidFill>
                    <a:schemeClr val="dk1"/>
                  </a:solidFill>
                  <a:effectLst/>
                  <a:latin typeface="+mn-lt"/>
                  <a:ea typeface="+mn-ea"/>
                  <a:cs typeface="+mn-cs"/>
                </a:rPr>
                <a:t> and </a:t>
              </a:r>
              <a:r>
                <a:rPr lang="en-AU" sz="1100" b="1">
                  <a:solidFill>
                    <a:schemeClr val="dk1"/>
                  </a:solidFill>
                  <a:effectLst/>
                  <a:latin typeface="+mn-lt"/>
                  <a:ea typeface="+mn-ea"/>
                  <a:cs typeface="+mn-cs"/>
                </a:rPr>
                <a:t>Sequence</a:t>
              </a:r>
              <a:r>
                <a:rPr lang="en-AU" sz="1100">
                  <a:solidFill>
                    <a:schemeClr val="dk1"/>
                  </a:solidFill>
                  <a:effectLst/>
                  <a:latin typeface="+mn-lt"/>
                  <a:ea typeface="+mn-ea"/>
                  <a:cs typeface="+mn-cs"/>
                </a:rPr>
                <a:t> in</a:t>
              </a:r>
              <a:r>
                <a:rPr lang="en-AU" sz="1100" baseline="0">
                  <a:solidFill>
                    <a:schemeClr val="dk1"/>
                  </a:solidFill>
                  <a:effectLst/>
                  <a:latin typeface="+mn-lt"/>
                  <a:ea typeface="+mn-ea"/>
                  <a:cs typeface="+mn-cs"/>
                </a:rPr>
                <a:t> each table can also be sorted and as can bee seen,when they are, the intervals still form a palindromic sequence.</a:t>
              </a:r>
              <a:endParaRPr lang="en-AU">
                <a:effectLst/>
              </a:endParaRPr>
            </a:p>
            <a:p>
              <a:endParaRPr lang="en-AU">
                <a:effectLst/>
              </a:endParaRPr>
            </a:p>
            <a:p>
              <a:r>
                <a:rPr lang="en-AU">
                  <a:effectLst/>
                </a:rPr>
                <a:t>Note: as the</a:t>
              </a:r>
              <a:r>
                <a:rPr lang="en-AU" baseline="0">
                  <a:effectLst/>
                </a:rPr>
                <a:t> Excel algorithm to generate 'Inconsistent Calculated Column Formula' warnings  in a table seem to be based predominately on random weather fluxuations these can safely be ignored.</a:t>
              </a:r>
              <a:endParaRPr lang="en-AU">
                <a:effectLst/>
              </a:endParaRPr>
            </a:p>
          </xdr:txBody>
        </xdr:sp>
      </mc:Choice>
      <mc:Fallback xmlns="">
        <xdr:sp macro="" textlink="">
          <xdr:nvSpPr>
            <xdr:cNvPr id="2" name="TextBox 1">
              <a:extLst>
                <a:ext uri="{FF2B5EF4-FFF2-40B4-BE49-F238E27FC236}">
                  <a16:creationId xmlns:a16="http://schemas.microsoft.com/office/drawing/2014/main" id="{001D7E14-C215-4BBB-91C0-A1E6DBD2289E}"/>
                </a:ext>
              </a:extLst>
            </xdr:cNvPr>
            <xdr:cNvSpPr txBox="1"/>
          </xdr:nvSpPr>
          <xdr:spPr>
            <a:xfrm>
              <a:off x="3752851" y="38100"/>
              <a:ext cx="13896974" cy="826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The purpose of this workbook is to demonstrate that lexicographically sorted matrices of </a:t>
              </a:r>
              <a:r>
                <a:rPr lang="en-AU" sz="1100" i="0">
                  <a:solidFill>
                    <a:schemeClr val="dk1"/>
                  </a:solidFill>
                  <a:effectLst/>
                  <a:latin typeface="Cambria Math" panose="02040503050406030204" pitchFamily="18" charset="0"/>
                  <a:ea typeface="+mn-ea"/>
                  <a:cs typeface="+mn-cs"/>
                </a:rPr>
                <a:t>∀𝑆(𝑛_𝑏 ){(𝑥, 𝑛, 𝑏)∈ℤ ┤|0≤𝑥&lt;𝑏^𝑛∧ 𝑛, 𝑏&gt;1}</a:t>
              </a:r>
              <a:r>
                <a:rPr lang="en-AU" sz="1100">
                  <a:solidFill>
                    <a:schemeClr val="dk1"/>
                  </a:solidFill>
                  <a:effectLst/>
                  <a:latin typeface="+mn-lt"/>
                  <a:ea typeface="+mn-ea"/>
                  <a:cs typeface="+mn-cs"/>
                </a:rPr>
                <a:t> are comprised  entirely of subsets of rotated sequences that are in themselves or in pairs, palindromically isomorphic about the matrix median and that the same holds true if the matrix is resorted to another column. For matrices with an odd number of rows this excludes</a:t>
              </a:r>
              <a:r>
                <a:rPr lang="en-AU" sz="1100" baseline="0">
                  <a:solidFill>
                    <a:schemeClr val="dk1"/>
                  </a:solidFill>
                  <a:effectLst/>
                  <a:latin typeface="+mn-lt"/>
                  <a:ea typeface="+mn-ea"/>
                  <a:cs typeface="+mn-cs"/>
                </a:rPr>
                <a:t> the median itself. </a:t>
              </a:r>
              <a:r>
                <a:rPr lang="en-AU" sz="1100">
                  <a:solidFill>
                    <a:schemeClr val="dk1"/>
                  </a:solidFill>
                  <a:effectLst/>
                  <a:latin typeface="+mn-lt"/>
                  <a:ea typeface="+mn-ea"/>
                  <a:cs typeface="+mn-cs"/>
                </a:rPr>
                <a:t>Further examples also demonstrate that the above also holds true for all the permutations of </a:t>
              </a:r>
              <a:r>
                <a:rPr lang="en-AU" sz="1100" i="0">
                  <a:solidFill>
                    <a:schemeClr val="dk1"/>
                  </a:solidFill>
                  <a:effectLst/>
                  <a:latin typeface="Cambria Math" panose="02040503050406030204" pitchFamily="18" charset="0"/>
                  <a:ea typeface="+mn-ea"/>
                  <a:cs typeface="+mn-cs"/>
                </a:rPr>
                <a:t>∀𝑆(𝑛_𝑏 ){𝑛∈ℤ ┤|0, 1, …, 𝑛}</a:t>
              </a:r>
              <a:r>
                <a:rPr lang="en-AU" sz="1100">
                  <a:solidFill>
                    <a:schemeClr val="dk1"/>
                  </a:solidFill>
                  <a:effectLst/>
                  <a:latin typeface="+mn-lt"/>
                  <a:ea typeface="+mn-ea"/>
                  <a:cs typeface="+mn-cs"/>
                </a:rPr>
                <a:t> and that they</a:t>
              </a:r>
              <a:r>
                <a:rPr lang="en-AU" sz="1100" baseline="0">
                  <a:solidFill>
                    <a:schemeClr val="dk1"/>
                  </a:solidFill>
                  <a:effectLst/>
                  <a:latin typeface="+mn-lt"/>
                  <a:ea typeface="+mn-ea"/>
                  <a:cs typeface="+mn-cs"/>
                </a:rPr>
                <a:t> are</a:t>
              </a:r>
              <a:r>
                <a:rPr lang="en-AU" sz="1100">
                  <a:solidFill>
                    <a:schemeClr val="dk1"/>
                  </a:solidFill>
                  <a:effectLst/>
                  <a:latin typeface="+mn-lt"/>
                  <a:ea typeface="+mn-ea"/>
                  <a:cs typeface="+mn-cs"/>
                </a:rPr>
                <a:t> a palindromically distributed subset of the former.</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Definitions</a:t>
              </a:r>
              <a:r>
                <a:rPr lang="en-AU" sz="1100">
                  <a:solidFill>
                    <a:schemeClr val="dk1"/>
                  </a:solidFill>
                  <a:effectLst/>
                  <a:latin typeface="+mn-lt"/>
                  <a:ea typeface="+mn-ea"/>
                  <a:cs typeface="+mn-cs"/>
                </a:rPr>
                <a:t>.</a:t>
              </a:r>
              <a:endParaRPr lang="en-AU">
                <a:effectLst/>
              </a:endParaRPr>
            </a:p>
            <a:p>
              <a:r>
                <a:rPr lang="en-AU" sz="1100">
                  <a:solidFill>
                    <a:schemeClr val="dk1"/>
                  </a:solidFill>
                  <a:effectLst/>
                  <a:latin typeface="+mn-lt"/>
                  <a:ea typeface="+mn-ea"/>
                  <a:cs typeface="+mn-cs"/>
                </a:rPr>
                <a:t> </a:t>
              </a:r>
              <a:endParaRPr lang="en-AU">
                <a:effectLst/>
              </a:endParaRPr>
            </a:p>
            <a:p>
              <a:r>
                <a:rPr lang="en-AU" sz="1100" b="1">
                  <a:solidFill>
                    <a:schemeClr val="dk1"/>
                  </a:solidFill>
                  <a:effectLst/>
                  <a:latin typeface="+mn-lt"/>
                  <a:ea typeface="+mn-ea"/>
                  <a:cs typeface="+mn-cs"/>
                </a:rPr>
                <a:t>Palindromic sequence</a:t>
              </a:r>
              <a:r>
                <a:rPr lang="en-AU" sz="1100">
                  <a:solidFill>
                    <a:schemeClr val="dk1"/>
                  </a:solidFill>
                  <a:effectLst/>
                  <a:latin typeface="+mn-lt"/>
                  <a:ea typeface="+mn-ea"/>
                  <a:cs typeface="+mn-cs"/>
                </a:rPr>
                <a:t> - A sequence of integers that is palindromic, e.g. (4, -5, 96, -5, 4). Note, this should not be confused with a set of palindromic numbers, e.g. (131, 141, 151).</a:t>
              </a:r>
            </a:p>
            <a:p>
              <a:endParaRPr lang="en-AU">
                <a:effectLst/>
              </a:endParaRPr>
            </a:p>
            <a:p>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n paired palindromic </a:t>
              </a:r>
              <a:r>
                <a:rPr lang="en-AU" sz="1100">
                  <a:solidFill>
                    <a:schemeClr val="dk1"/>
                  </a:solidFill>
                  <a:effectLst/>
                  <a:latin typeface="+mn-lt"/>
                  <a:ea typeface="+mn-ea"/>
                  <a:cs typeface="+mn-cs"/>
                </a:rPr>
                <a:t>sets - two sets each containing all possible rotations of a sequence that together are palindromically isomorphic about the median of the matrix with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denoting the number of matching pairs of rotations between the two sets. Combined the intervals between each sequence of the pairings form a palindromic sequence.</a:t>
              </a:r>
            </a:p>
            <a:p>
              <a:r>
                <a:rPr lang="en-AU" sz="1100">
                  <a:solidFill>
                    <a:schemeClr val="dk1"/>
                  </a:solidFill>
                  <a:effectLst/>
                  <a:latin typeface="+mn-lt"/>
                  <a:ea typeface="+mn-ea"/>
                  <a:cs typeface="+mn-cs"/>
                </a:rPr>
                <a:t> </a:t>
              </a:r>
            </a:p>
            <a:p>
              <a:r>
                <a:rPr lang="en-AU" sz="1100" b="1">
                  <a:solidFill>
                    <a:schemeClr val="dk1"/>
                  </a:solidFill>
                  <a:effectLst/>
                  <a:latin typeface="+mn-lt"/>
                  <a:ea typeface="+mn-ea"/>
                  <a:cs typeface="+mn-cs"/>
                </a:rPr>
                <a:t>n paired self-palindromic </a:t>
              </a:r>
              <a:r>
                <a:rPr lang="en-AU" sz="1100">
                  <a:solidFill>
                    <a:schemeClr val="dk1"/>
                  </a:solidFill>
                  <a:effectLst/>
                  <a:latin typeface="+mn-lt"/>
                  <a:ea typeface="+mn-ea"/>
                  <a:cs typeface="+mn-cs"/>
                </a:rPr>
                <a:t>set - a set containing all possible rotations of a sequence in which each rotation is palindromically isomorphic about the median of the matrix to another rotation within the same set with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denoting the number of matching pairs of rotations within the set. Combined the intervals between each sequence in the set form a palindromic sequence.</a:t>
              </a:r>
            </a:p>
            <a:p>
              <a:endParaRPr lang="en-AU">
                <a:effectLst/>
              </a:endParaRPr>
            </a:p>
            <a:p>
              <a:r>
                <a:rPr lang="en-AU" sz="1100" b="1">
                  <a:solidFill>
                    <a:schemeClr val="dk1"/>
                  </a:solidFill>
                  <a:effectLst/>
                  <a:latin typeface="+mn-lt"/>
                  <a:ea typeface="+mn-ea"/>
                  <a:cs typeface="+mn-cs"/>
                </a:rPr>
                <a:t>Sorted y</a:t>
              </a:r>
              <a:r>
                <a:rPr lang="en-AU" sz="1100">
                  <a:solidFill>
                    <a:schemeClr val="dk1"/>
                  </a:solidFill>
                  <a:effectLst/>
                  <a:latin typeface="+mn-lt"/>
                  <a:ea typeface="+mn-ea"/>
                  <a:cs typeface="+mn-cs"/>
                </a:rPr>
                <a:t> - the matrix is sorted smallest to largest on column </a:t>
              </a:r>
              <a:r>
                <a:rPr lang="en-AU" sz="1100" b="1">
                  <a:solidFill>
                    <a:schemeClr val="dk1"/>
                  </a:solidFill>
                  <a:effectLst/>
                  <a:latin typeface="+mn-lt"/>
                  <a:ea typeface="+mn-ea"/>
                  <a:cs typeface="+mn-cs"/>
                </a:rPr>
                <a:t>y</a:t>
              </a:r>
              <a:endParaRPr lang="en-AU">
                <a:effectLst/>
              </a:endParaRPr>
            </a:p>
            <a:p>
              <a:r>
                <a:rPr lang="en-AU" sz="1100">
                  <a:solidFill>
                    <a:schemeClr val="dk1"/>
                  </a:solidFill>
                  <a:effectLst/>
                  <a:latin typeface="+mn-lt"/>
                  <a:ea typeface="+mn-ea"/>
                  <a:cs typeface="+mn-cs"/>
                </a:rPr>
                <a:t>  </a:t>
              </a:r>
              <a:endParaRPr lang="en-AU">
                <a:effectLst/>
              </a:endParaRPr>
            </a:p>
            <a:p>
              <a:pPr eaLnBrk="1" fontAlgn="auto" latinLnBrk="0" hangingPunct="1"/>
              <a:r>
                <a:rPr lang="en-AU" sz="1100" b="1">
                  <a:solidFill>
                    <a:schemeClr val="dk1"/>
                  </a:solidFill>
                  <a:effectLst/>
                  <a:latin typeface="+mn-lt"/>
                  <a:ea typeface="+mn-ea"/>
                  <a:cs typeface="+mn-cs"/>
                </a:rPr>
                <a:t>Example</a:t>
              </a:r>
            </a:p>
            <a:p>
              <a:pPr eaLnBrk="1" fontAlgn="auto" latinLnBrk="0" hangingPunct="1"/>
              <a:endParaRPr lang="en-AU">
                <a:effectLst/>
              </a:endParaRPr>
            </a:p>
            <a:p>
              <a:r>
                <a:rPr lang="en-AU" sz="1100">
                  <a:solidFill>
                    <a:schemeClr val="dk1"/>
                  </a:solidFill>
                  <a:effectLst/>
                  <a:latin typeface="+mn-lt"/>
                  <a:ea typeface="+mn-ea"/>
                  <a:cs typeface="+mn-cs"/>
                </a:rPr>
                <a:t>Such a</a:t>
              </a:r>
              <a:r>
                <a:rPr lang="en-AU" sz="1100" baseline="0">
                  <a:solidFill>
                    <a:schemeClr val="dk1"/>
                  </a:solidFill>
                  <a:effectLst/>
                  <a:latin typeface="+mn-lt"/>
                  <a:ea typeface="+mn-ea"/>
                  <a:cs typeface="+mn-cs"/>
                </a:rPr>
                <a:t> matrix as expressed above </a:t>
              </a:r>
              <a:r>
                <a:rPr lang="en-AU" sz="1100">
                  <a:solidFill>
                    <a:schemeClr val="dk1"/>
                  </a:solidFill>
                  <a:effectLst/>
                  <a:latin typeface="+mn-lt"/>
                  <a:ea typeface="+mn-ea"/>
                  <a:cs typeface="+mn-cs"/>
                </a:rPr>
                <a:t>is defined in the tables to the left</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by the rows 0 to 15 as denoted by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in the purple table and the columns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0</a:t>
              </a:r>
              <a:r>
                <a:rPr lang="en-AU" sz="1100" baseline="0">
                  <a:solidFill>
                    <a:schemeClr val="dk1"/>
                  </a:solidFill>
                  <a:effectLst/>
                  <a:latin typeface="+mn-lt"/>
                  <a:ea typeface="+mn-ea"/>
                  <a:cs typeface="+mn-cs"/>
                </a:rPr>
                <a:t> to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in the blue table. Each row represents one value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and each column one digit of that value.  Any value that has less than </a:t>
              </a:r>
              <a:r>
                <a:rPr lang="en-AU" sz="1100" b="1">
                  <a:solidFill>
                    <a:schemeClr val="dk1"/>
                  </a:solidFill>
                  <a:effectLst/>
                  <a:latin typeface="+mn-lt"/>
                  <a:ea typeface="+mn-ea"/>
                  <a:cs typeface="+mn-cs"/>
                </a:rPr>
                <a:t>n</a:t>
              </a:r>
              <a:r>
                <a:rPr lang="en-AU" sz="1100">
                  <a:solidFill>
                    <a:schemeClr val="dk1"/>
                  </a:solidFill>
                  <a:effectLst/>
                  <a:latin typeface="+mn-lt"/>
                  <a:ea typeface="+mn-ea"/>
                  <a:cs typeface="+mn-cs"/>
                </a:rPr>
                <a:t> digits is left padded with zeroes. Initially the matrix is sorted such that the digits are arranged most significant to least from left to right and values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increasing from top to bottom, i.e. smallest to largest according to the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column which is the decimal equivalent of the value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There are two additional columns in this example.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is the offset of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values relative to the median </a:t>
              </a:r>
              <a:r>
                <a:rPr lang="en-AU" sz="1100" baseline="0">
                  <a:solidFill>
                    <a:schemeClr val="dk1"/>
                  </a:solidFill>
                  <a:effectLst/>
                  <a:latin typeface="+mn-lt"/>
                  <a:ea typeface="+mn-ea"/>
                  <a:cs typeface="+mn-cs"/>
                </a:rPr>
                <a:t> and </a:t>
              </a:r>
              <a:r>
                <a:rPr lang="en-AU" sz="1100" b="1" baseline="0">
                  <a:solidFill>
                    <a:schemeClr val="dk1"/>
                  </a:solidFill>
                  <a:effectLst/>
                  <a:latin typeface="+mn-lt"/>
                  <a:ea typeface="+mn-ea"/>
                  <a:cs typeface="+mn-cs"/>
                </a:rPr>
                <a:t>Interval</a:t>
              </a:r>
              <a:r>
                <a:rPr lang="en-AU" sz="1100" b="0">
                  <a:solidFill>
                    <a:schemeClr val="dk1"/>
                  </a:solidFill>
                  <a:effectLst/>
                  <a:latin typeface="+mn-lt"/>
                  <a:ea typeface="+mn-ea"/>
                  <a:cs typeface="+mn-cs"/>
                </a:rPr>
                <a:t> is</a:t>
              </a:r>
              <a:r>
                <a:rPr lang="en-AU" sz="1100" b="0" baseline="0">
                  <a:solidFill>
                    <a:schemeClr val="dk1"/>
                  </a:solidFill>
                  <a:effectLst/>
                  <a:latin typeface="+mn-lt"/>
                  <a:ea typeface="+mn-ea"/>
                  <a:cs typeface="+mn-cs"/>
                </a:rPr>
                <a:t> the difference between consecutive values of </a:t>
              </a:r>
              <a:r>
                <a:rPr lang="en-AU" sz="1100" b="1" i="1" baseline="0">
                  <a:solidFill>
                    <a:schemeClr val="dk1"/>
                  </a:solidFill>
                  <a:effectLst/>
                  <a:latin typeface="+mn-lt"/>
                  <a:ea typeface="+mn-ea"/>
                  <a:cs typeface="+mn-cs"/>
                </a:rPr>
                <a:t>X</a:t>
              </a:r>
              <a:r>
                <a:rPr lang="en-AU" sz="1100" b="0" baseline="0">
                  <a:solidFill>
                    <a:schemeClr val="dk1"/>
                  </a:solidFill>
                  <a:effectLst/>
                  <a:latin typeface="+mn-lt"/>
                  <a:ea typeface="+mn-ea"/>
                  <a:cs typeface="+mn-cs"/>
                </a:rPr>
                <a:t>.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and </a:t>
              </a:r>
              <a:r>
                <a:rPr lang="en-AU" sz="1100" b="1" i="1" baseline="0">
                  <a:solidFill>
                    <a:schemeClr val="dk1"/>
                  </a:solidFill>
                  <a:effectLst/>
                  <a:latin typeface="+mn-lt"/>
                  <a:ea typeface="+mn-ea"/>
                  <a:cs typeface="+mn-cs"/>
                </a:rPr>
                <a:t>X</a:t>
              </a:r>
              <a:r>
                <a:rPr lang="en-AU" sz="1100" b="1" baseline="0">
                  <a:solidFill>
                    <a:schemeClr val="dk1"/>
                  </a:solidFill>
                  <a:effectLst/>
                  <a:latin typeface="+mn-lt"/>
                  <a:ea typeface="+mn-ea"/>
                  <a:cs typeface="+mn-cs"/>
                </a:rPr>
                <a:t> </a:t>
              </a:r>
              <a:r>
                <a:rPr lang="en-AU" sz="1100">
                  <a:solidFill>
                    <a:schemeClr val="dk1"/>
                  </a:solidFill>
                  <a:effectLst/>
                  <a:latin typeface="+mn-lt"/>
                  <a:ea typeface="+mn-ea"/>
                  <a:cs typeface="+mn-cs"/>
                </a:rPr>
                <a:t>values change when the matrix is resorted to a different column to reflect the new row position of the value s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For matrices where </a:t>
              </a:r>
              <a:r>
                <a:rPr lang="en-AU" sz="1100" b="1" i="1">
                  <a:solidFill>
                    <a:schemeClr val="dk1"/>
                  </a:solidFill>
                  <a:effectLst/>
                  <a:latin typeface="+mn-lt"/>
                  <a:ea typeface="+mn-ea"/>
                  <a:cs typeface="+mn-cs"/>
                </a:rPr>
                <a:t>b = n</a:t>
              </a:r>
              <a:r>
                <a:rPr lang="en-AU" sz="1100">
                  <a:solidFill>
                    <a:schemeClr val="dk1"/>
                  </a:solidFill>
                  <a:effectLst/>
                  <a:latin typeface="+mn-lt"/>
                  <a:ea typeface="+mn-ea"/>
                  <a:cs typeface="+mn-cs"/>
                </a:rPr>
                <a:t> the </a:t>
              </a:r>
              <a:r>
                <a:rPr lang="en-AU" sz="1100" b="1">
                  <a:solidFill>
                    <a:schemeClr val="dk1"/>
                  </a:solidFill>
                  <a:effectLst/>
                  <a:latin typeface="+mn-lt"/>
                  <a:ea typeface="+mn-ea"/>
                  <a:cs typeface="+mn-cs"/>
                </a:rPr>
                <a:t>permutation</a:t>
              </a:r>
              <a:r>
                <a:rPr lang="en-AU" sz="1100">
                  <a:solidFill>
                    <a:schemeClr val="dk1"/>
                  </a:solidFill>
                  <a:effectLst/>
                  <a:latin typeface="+mn-lt"/>
                  <a:ea typeface="+mn-ea"/>
                  <a:cs typeface="+mn-cs"/>
                </a:rPr>
                <a:t> column is provided to identify the subset elements of all the permutations of </a:t>
              </a:r>
              <a:r>
                <a:rPr lang="en-AU" sz="1100" i="0">
                  <a:solidFill>
                    <a:schemeClr val="dk1"/>
                  </a:solidFill>
                  <a:effectLst/>
                  <a:latin typeface="Cambria Math" panose="02040503050406030204" pitchFamily="18" charset="0"/>
                  <a:ea typeface="+mn-ea"/>
                  <a:cs typeface="+mn-cs"/>
                </a:rPr>
                <a:t>∀𝑆(𝑛_𝑏 ){𝑛∈ℤ ┤|0, 1, …, 𝑛}</a:t>
              </a:r>
              <a:r>
                <a:rPr lang="en-AU" sz="1100">
                  <a:solidFill>
                    <a:schemeClr val="dk1"/>
                  </a:solidFill>
                  <a:effectLst/>
                  <a:latin typeface="+mn-lt"/>
                  <a:ea typeface="+mn-ea"/>
                  <a:cs typeface="+mn-cs"/>
                </a:rPr>
                <a:t>. For examples</a:t>
              </a:r>
              <a:r>
                <a:rPr lang="en-AU" sz="1100" baseline="0">
                  <a:solidFill>
                    <a:schemeClr val="dk1"/>
                  </a:solidFill>
                  <a:effectLst/>
                  <a:latin typeface="+mn-lt"/>
                  <a:ea typeface="+mn-ea"/>
                  <a:cs typeface="+mn-cs"/>
                </a:rPr>
                <a:t> showing permutations only</a:t>
              </a:r>
              <a:r>
                <a:rPr lang="en-AU" sz="1100" b="0" i="0">
                  <a:solidFill>
                    <a:schemeClr val="dk1"/>
                  </a:solidFill>
                  <a:effectLst/>
                  <a:latin typeface="Cambria Math" panose="02040503050406030204" pitchFamily="18" charset="0"/>
                  <a:ea typeface="+mn-ea"/>
                  <a:cs typeface="+mn-cs"/>
                </a:rPr>
                <a:t> </a:t>
              </a:r>
              <a:r>
                <a:rPr lang="en-AU" sz="1100">
                  <a:solidFill>
                    <a:schemeClr val="dk1"/>
                  </a:solidFill>
                  <a:effectLst/>
                  <a:latin typeface="+mn-lt"/>
                  <a:ea typeface="+mn-ea"/>
                  <a:cs typeface="+mn-cs"/>
                </a:rPr>
                <a:t>an extra column called</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Fixed</a:t>
              </a:r>
              <a:r>
                <a:rPr lang="en-AU" sz="1100" baseline="0">
                  <a:solidFill>
                    <a:schemeClr val="dk1"/>
                  </a:solidFill>
                  <a:effectLst/>
                  <a:latin typeface="+mn-lt"/>
                  <a:ea typeface="+mn-ea"/>
                  <a:cs typeface="+mn-cs"/>
                </a:rPr>
                <a:t> is added. This shows the initial values of the Decimal column when the matrix is sorted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n</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and is used by the table to calculate the offset values.</a:t>
              </a:r>
            </a:p>
            <a:p>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Note: An observation of column sorting is that reversing the column sort order may not restore the matrix back to the former state. If for example the matrix is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then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0</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if it is again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then the matrix will not return to the previously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3</a:t>
              </a:r>
              <a:r>
                <a:rPr lang="en-AU" sz="1100" b="0" baseline="30000">
                  <a:solidFill>
                    <a:schemeClr val="dk1"/>
                  </a:solidFill>
                  <a:effectLst/>
                  <a:latin typeface="+mn-lt"/>
                  <a:ea typeface="+mn-ea"/>
                  <a:cs typeface="+mn-cs"/>
                </a:rPr>
                <a:t> </a:t>
              </a:r>
              <a:r>
                <a:rPr lang="en-AU" sz="1100">
                  <a:solidFill>
                    <a:schemeClr val="dk1"/>
                  </a:solidFill>
                  <a:effectLst/>
                  <a:latin typeface="+mn-lt"/>
                  <a:ea typeface="+mn-ea"/>
                  <a:cs typeface="+mn-cs"/>
                </a:rPr>
                <a:t>state. Sorting using the </a:t>
              </a:r>
              <a:r>
                <a:rPr lang="en-AU" sz="1100" b="1" i="1">
                  <a:solidFill>
                    <a:schemeClr val="dk1"/>
                  </a:solidFill>
                  <a:effectLst/>
                  <a:latin typeface="+mn-lt"/>
                  <a:ea typeface="+mn-ea"/>
                  <a:cs typeface="+mn-cs"/>
                </a:rPr>
                <a:t>X</a:t>
              </a:r>
              <a:r>
                <a:rPr lang="en-AU" sz="1100" b="0" baseline="0">
                  <a:solidFill>
                    <a:schemeClr val="dk1"/>
                  </a:solidFill>
                  <a:effectLst/>
                  <a:latin typeface="+mn-lt"/>
                  <a:ea typeface="+mn-ea"/>
                  <a:cs typeface="+mn-cs"/>
                </a:rPr>
                <a:t> </a:t>
              </a:r>
              <a:r>
                <a:rPr lang="en-AU" sz="1100" b="0">
                  <a:solidFill>
                    <a:schemeClr val="dk1"/>
                  </a:solidFill>
                  <a:effectLst/>
                  <a:latin typeface="+mn-lt"/>
                  <a:ea typeface="+mn-ea"/>
                  <a:cs typeface="+mn-cs"/>
                </a:rPr>
                <a:t>column</a:t>
              </a:r>
              <a:r>
                <a:rPr lang="en-AU" sz="1100">
                  <a:solidFill>
                    <a:schemeClr val="dk1"/>
                  </a:solidFill>
                  <a:effectLst/>
                  <a:latin typeface="+mn-lt"/>
                  <a:ea typeface="+mn-ea"/>
                  <a:cs typeface="+mn-cs"/>
                </a:rPr>
                <a:t> will always return the matrix to the initial </a:t>
              </a:r>
              <a:r>
                <a:rPr lang="en-AU" sz="1100" b="1" baseline="0">
                  <a:solidFill>
                    <a:schemeClr val="dk1"/>
                  </a:solidFill>
                  <a:effectLst/>
                  <a:latin typeface="+mn-lt"/>
                  <a:ea typeface="+mn-ea"/>
                  <a:cs typeface="+mn-cs"/>
                </a:rPr>
                <a:t>sorted</a:t>
              </a:r>
              <a:r>
                <a:rPr lang="en-AU" sz="1100" b="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n-1</a:t>
              </a:r>
              <a:r>
                <a:rPr lang="en-AU" sz="1100" b="0" baseline="0">
                  <a:solidFill>
                    <a:schemeClr val="dk1"/>
                  </a:solidFill>
                  <a:effectLst/>
                  <a:latin typeface="+mn-lt"/>
                  <a:ea typeface="+mn-ea"/>
                  <a:cs typeface="+mn-cs"/>
                </a:rPr>
                <a:t> </a:t>
              </a:r>
              <a:r>
                <a:rPr lang="en-AU" sz="1100">
                  <a:solidFill>
                    <a:schemeClr val="dk1"/>
                  </a:solidFill>
                  <a:effectLst/>
                  <a:latin typeface="+mn-lt"/>
                  <a:ea typeface="+mn-ea"/>
                  <a:cs typeface="+mn-cs"/>
                </a:rPr>
                <a:t>state.</a:t>
              </a:r>
              <a:endParaRPr lang="en-AU" sz="1100" baseline="0">
                <a:solidFill>
                  <a:schemeClr val="dk1"/>
                </a:solidFill>
                <a:effectLst/>
                <a:latin typeface="+mn-lt"/>
                <a:ea typeface="+mn-ea"/>
                <a:cs typeface="+mn-cs"/>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As can be seen in this example there exist two sets forming a </a:t>
              </a:r>
              <a:r>
                <a:rPr lang="en-AU" sz="1100" b="1">
                  <a:solidFill>
                    <a:schemeClr val="dk1"/>
                  </a:solidFill>
                  <a:effectLst/>
                  <a:latin typeface="+mn-lt"/>
                  <a:ea typeface="+mn-ea"/>
                  <a:cs typeface="+mn-cs"/>
                </a:rPr>
                <a:t>4 paired palindromic set</a:t>
              </a:r>
              <a:r>
                <a:rPr lang="en-AU" sz="1100">
                  <a:solidFill>
                    <a:schemeClr val="dk1"/>
                  </a:solidFill>
                  <a:effectLst/>
                  <a:latin typeface="+mn-lt"/>
                  <a:ea typeface="+mn-ea"/>
                  <a:cs typeface="+mn-cs"/>
                </a:rPr>
                <a:t> of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values (1, 2, 4, 8) and (7, 11, 13, 14) respectively which  when combined  is (1, 2, 4, 7, 8, 11, 13, 14) and the intervals form the palindromic sequence (1, 2, 3, 1, 3, 2, 1). Additionally the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values for the two sets form two palindromically isomorphic sequences which are (-7, -6, -4, 1) and (-1, 4, 6, 7).</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An example of a </a:t>
              </a:r>
              <a:r>
                <a:rPr lang="en-AU" sz="1100" b="1">
                  <a:solidFill>
                    <a:schemeClr val="dk1"/>
                  </a:solidFill>
                  <a:effectLst/>
                  <a:latin typeface="+mn-lt"/>
                  <a:ea typeface="+mn-ea"/>
                  <a:cs typeface="+mn-cs"/>
                </a:rPr>
                <a:t>2 paired self-palindromic set</a:t>
              </a:r>
              <a:r>
                <a:rPr lang="en-AU" sz="1100">
                  <a:solidFill>
                    <a:schemeClr val="dk1"/>
                  </a:solidFill>
                  <a:effectLst/>
                  <a:latin typeface="+mn-lt"/>
                  <a:ea typeface="+mn-ea"/>
                  <a:cs typeface="+mn-cs"/>
                </a:rPr>
                <a:t> would be that of decimal values (3, 6, 9, 12) with the intervals forming the palindromic sequence (3, 3, 3, 3).</a:t>
              </a:r>
              <a:r>
                <a:rPr lang="en-AU" sz="1100" baseline="0">
                  <a:solidFill>
                    <a:schemeClr val="dk1"/>
                  </a:solidFill>
                  <a:effectLst/>
                  <a:latin typeface="+mn-lt"/>
                  <a:ea typeface="+mn-ea"/>
                  <a:cs typeface="+mn-cs"/>
                </a:rPr>
                <a:t> In this case the</a:t>
              </a:r>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Offse</a:t>
              </a:r>
              <a:r>
                <a:rPr lang="en-AU" sz="1100" b="1" baseline="0">
                  <a:solidFill>
                    <a:schemeClr val="dk1"/>
                  </a:solidFill>
                  <a:effectLst/>
                  <a:latin typeface="+mn-lt"/>
                  <a:ea typeface="+mn-ea"/>
                  <a:cs typeface="+mn-cs"/>
                </a:rPr>
                <a:t>t </a:t>
              </a:r>
              <a:r>
                <a:rPr lang="en-AU" sz="1100">
                  <a:solidFill>
                    <a:schemeClr val="dk1"/>
                  </a:solidFill>
                  <a:effectLst/>
                  <a:latin typeface="+mn-lt"/>
                  <a:ea typeface="+mn-ea"/>
                  <a:cs typeface="+mn-cs"/>
                </a:rPr>
                <a:t>values are</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(-5, -2, 2, 5) and thus is in itself palindromically isomorphic.</a:t>
              </a:r>
              <a:endParaRPr lang="en-AU">
                <a:effectLst/>
              </a:endParaRPr>
            </a:p>
            <a:p>
              <a:r>
                <a:rPr lang="en-AU" sz="1100">
                  <a:solidFill>
                    <a:schemeClr val="dk1"/>
                  </a:solidFill>
                  <a:effectLst/>
                  <a:latin typeface="+mn-lt"/>
                  <a:ea typeface="+mn-ea"/>
                  <a:cs typeface="+mn-cs"/>
                </a:rPr>
                <a:t> </a:t>
              </a:r>
              <a:endParaRPr lang="en-AU">
                <a:effectLst/>
              </a:endParaRPr>
            </a:p>
            <a:p>
              <a:r>
                <a:rPr lang="en-AU" sz="1100">
                  <a:solidFill>
                    <a:schemeClr val="dk1"/>
                  </a:solidFill>
                  <a:effectLst/>
                  <a:latin typeface="+mn-lt"/>
                  <a:ea typeface="+mn-ea"/>
                  <a:cs typeface="+mn-cs"/>
                </a:rPr>
                <a:t>If the matrix is now </a:t>
              </a:r>
              <a:r>
                <a:rPr lang="en-AU" sz="1100" b="1" baseline="0">
                  <a:solidFill>
                    <a:schemeClr val="dk1"/>
                  </a:solidFill>
                  <a:effectLst/>
                  <a:latin typeface="+mn-lt"/>
                  <a:ea typeface="+mn-ea"/>
                  <a:cs typeface="+mn-cs"/>
                </a:rPr>
                <a:t>sorted</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b</a:t>
              </a:r>
              <a:r>
                <a:rPr lang="en-AU" sz="1100" b="1" baseline="30000">
                  <a:solidFill>
                    <a:schemeClr val="dk1"/>
                  </a:solidFill>
                  <a:effectLst/>
                  <a:latin typeface="+mn-lt"/>
                  <a:ea typeface="+mn-ea"/>
                  <a:cs typeface="+mn-cs"/>
                </a:rPr>
                <a:t>2</a:t>
              </a:r>
              <a:r>
                <a:rPr lang="en-AU" sz="1100">
                  <a:solidFill>
                    <a:schemeClr val="dk1"/>
                  </a:solidFill>
                  <a:effectLst/>
                  <a:latin typeface="+mn-lt"/>
                  <a:ea typeface="+mn-ea"/>
                  <a:cs typeface="+mn-cs"/>
                </a:rPr>
                <a:t> it can be seen that although the individual sequence rotations of many of the sets have been repositioned relative to the </a:t>
              </a:r>
              <a:r>
                <a:rPr lang="en-AU" sz="1100" b="1">
                  <a:solidFill>
                    <a:schemeClr val="dk1"/>
                  </a:solidFill>
                  <a:effectLst/>
                  <a:latin typeface="+mn-lt"/>
                  <a:ea typeface="+mn-ea"/>
                  <a:cs typeface="+mn-cs"/>
                </a:rPr>
                <a:t>Row</a:t>
              </a:r>
              <a:r>
                <a:rPr lang="en-AU" sz="1100">
                  <a:solidFill>
                    <a:schemeClr val="dk1"/>
                  </a:solidFill>
                  <a:effectLst/>
                  <a:latin typeface="+mn-lt"/>
                  <a:ea typeface="+mn-ea"/>
                  <a:cs typeface="+mn-cs"/>
                </a:rPr>
                <a:t> column, neither the set type nor the pairings between </a:t>
              </a:r>
              <a:r>
                <a:rPr lang="en-AU" sz="1100" b="1">
                  <a:solidFill>
                    <a:schemeClr val="dk1"/>
                  </a:solidFill>
                  <a:effectLst/>
                  <a:latin typeface="+mn-lt"/>
                  <a:ea typeface="+mn-ea"/>
                  <a:cs typeface="+mn-cs"/>
                </a:rPr>
                <a:t>n paired palindromic sets</a:t>
              </a:r>
              <a:r>
                <a:rPr lang="en-AU" sz="1100">
                  <a:solidFill>
                    <a:schemeClr val="dk1"/>
                  </a:solidFill>
                  <a:effectLst/>
                  <a:latin typeface="+mn-lt"/>
                  <a:ea typeface="+mn-ea"/>
                  <a:cs typeface="+mn-cs"/>
                </a:rPr>
                <a:t> and within </a:t>
              </a:r>
              <a:r>
                <a:rPr lang="en-AU" sz="1100" b="1">
                  <a:solidFill>
                    <a:schemeClr val="dk1"/>
                  </a:solidFill>
                  <a:effectLst/>
                  <a:latin typeface="+mn-lt"/>
                  <a:ea typeface="+mn-ea"/>
                  <a:cs typeface="+mn-cs"/>
                </a:rPr>
                <a:t>n paired self-palindromic sets</a:t>
              </a:r>
              <a:r>
                <a:rPr lang="en-AU" sz="1100">
                  <a:solidFill>
                    <a:schemeClr val="dk1"/>
                  </a:solidFill>
                  <a:effectLst/>
                  <a:latin typeface="+mn-lt"/>
                  <a:ea typeface="+mn-ea"/>
                  <a:cs typeface="+mn-cs"/>
                </a:rPr>
                <a:t> have changed. Additionally, the </a:t>
              </a:r>
              <a:r>
                <a:rPr lang="en-AU" sz="1100" b="1">
                  <a:solidFill>
                    <a:schemeClr val="dk1"/>
                  </a:solidFill>
                  <a:effectLst/>
                  <a:latin typeface="+mn-lt"/>
                  <a:ea typeface="+mn-ea"/>
                  <a:cs typeface="+mn-cs"/>
                </a:rPr>
                <a:t>Interval </a:t>
              </a:r>
              <a:r>
                <a:rPr lang="en-AU" sz="1100" b="0">
                  <a:solidFill>
                    <a:schemeClr val="dk1"/>
                  </a:solidFill>
                  <a:effectLst/>
                  <a:latin typeface="+mn-lt"/>
                  <a:ea typeface="+mn-ea"/>
                  <a:cs typeface="+mn-cs"/>
                </a:rPr>
                <a:t>column</a:t>
              </a:r>
              <a:r>
                <a:rPr lang="en-AU" sz="1100">
                  <a:solidFill>
                    <a:schemeClr val="dk1"/>
                  </a:solidFill>
                  <a:effectLst/>
                  <a:latin typeface="+mn-lt"/>
                  <a:ea typeface="+mn-ea"/>
                  <a:cs typeface="+mn-cs"/>
                </a:rPr>
                <a:t> in total is a sequence that is in itself palindormically isomorphic about the median irrespective of the sort column</a:t>
              </a:r>
              <a:r>
                <a:rPr lang="en-AU" sz="1100" baseline="0">
                  <a:solidFill>
                    <a:schemeClr val="dk1"/>
                  </a:solidFill>
                  <a:effectLst/>
                  <a:latin typeface="+mn-lt"/>
                  <a:ea typeface="+mn-ea"/>
                  <a:cs typeface="+mn-cs"/>
                </a:rPr>
                <a:t> and t</a:t>
              </a:r>
              <a:r>
                <a:rPr lang="en-AU" sz="1100">
                  <a:solidFill>
                    <a:schemeClr val="dk1"/>
                  </a:solidFill>
                  <a:effectLst/>
                  <a:latin typeface="+mn-lt"/>
                  <a:ea typeface="+mn-ea"/>
                  <a:cs typeface="+mn-cs"/>
                </a:rPr>
                <a:t>he sum of the intervals is always </a:t>
              </a:r>
              <a:r>
                <a:rPr lang="en-AU" sz="1100" i="0">
                  <a:solidFill>
                    <a:schemeClr val="dk1"/>
                  </a:solidFill>
                  <a:effectLst/>
                  <a:latin typeface="Cambria Math" panose="02040503050406030204" pitchFamily="18" charset="0"/>
                  <a:ea typeface="+mn-ea"/>
                  <a:cs typeface="+mn-cs"/>
                </a:rPr>
                <a:t>𝑏^𝑛</a:t>
              </a:r>
              <a:r>
                <a:rPr lang="en-AU" sz="1100" b="0" i="0">
                  <a:solidFill>
                    <a:schemeClr val="dk1"/>
                  </a:solidFill>
                  <a:effectLst/>
                  <a:latin typeface="Cambria Math" panose="02040503050406030204" pitchFamily="18" charset="0"/>
                  <a:ea typeface="+mn-ea"/>
                  <a:cs typeface="+mn-cs"/>
                </a:rPr>
                <a:t>−1</a:t>
              </a:r>
              <a:r>
                <a:rPr lang="en-AU" sz="1100" b="0">
                  <a:solidFill>
                    <a:schemeClr val="dk1"/>
                  </a:solidFill>
                  <a:effectLst/>
                  <a:latin typeface="+mn-lt"/>
                  <a:ea typeface="+mn-ea"/>
                  <a:cs typeface="+mn-cs"/>
                </a:rPr>
                <a:t> .</a:t>
              </a:r>
              <a:endParaRPr lang="en-AU" sz="1100">
                <a:solidFill>
                  <a:schemeClr val="dk1"/>
                </a:solidFill>
                <a:effectLst/>
                <a:latin typeface="+mn-lt"/>
                <a:ea typeface="+mn-ea"/>
                <a:cs typeface="+mn-cs"/>
              </a:endParaRPr>
            </a:p>
            <a:p>
              <a:endParaRPr lang="en-AU">
                <a:effectLst/>
              </a:endParaRPr>
            </a:p>
            <a:p>
              <a:pPr eaLnBrk="1" fontAlgn="auto" latinLnBrk="0" hangingPunct="1"/>
              <a:r>
                <a:rPr lang="en-AU" sz="1100">
                  <a:solidFill>
                    <a:schemeClr val="dk1"/>
                  </a:solidFill>
                  <a:effectLst/>
                  <a:latin typeface="+mn-lt"/>
                  <a:ea typeface="+mn-ea"/>
                  <a:cs typeface="+mn-cs"/>
                </a:rPr>
                <a:t>Several more tables (not shown here)  are presented on each worksheet. A third table  lists the </a:t>
              </a:r>
              <a:r>
                <a:rPr lang="en-AU" sz="1100" b="1">
                  <a:solidFill>
                    <a:schemeClr val="dk1"/>
                  </a:solidFill>
                  <a:effectLst/>
                  <a:latin typeface="+mn-lt"/>
                  <a:ea typeface="+mn-ea"/>
                  <a:cs typeface="+mn-cs"/>
                </a:rPr>
                <a:t>palindromic</a:t>
              </a:r>
              <a:r>
                <a:rPr lang="en-AU" sz="1100">
                  <a:solidFill>
                    <a:schemeClr val="dk1"/>
                  </a:solidFill>
                  <a:effectLst/>
                  <a:latin typeface="+mn-lt"/>
                  <a:ea typeface="+mn-ea"/>
                  <a:cs typeface="+mn-cs"/>
                </a:rPr>
                <a:t> sets that exist in the matrix along with a colour legend to the right to assist with identification. For </a:t>
              </a:r>
              <a:r>
                <a:rPr lang="en-AU" sz="1100" b="1">
                  <a:solidFill>
                    <a:schemeClr val="dk1"/>
                  </a:solidFill>
                  <a:effectLst/>
                  <a:latin typeface="+mn-lt"/>
                  <a:ea typeface="+mn-ea"/>
                  <a:cs typeface="+mn-cs"/>
                </a:rPr>
                <a:t>n paired palindromic </a:t>
              </a:r>
              <a:r>
                <a:rPr lang="en-AU" sz="1100">
                  <a:solidFill>
                    <a:schemeClr val="dk1"/>
                  </a:solidFill>
                  <a:effectLst/>
                  <a:latin typeface="+mn-lt"/>
                  <a:ea typeface="+mn-ea"/>
                  <a:cs typeface="+mn-cs"/>
                </a:rPr>
                <a:t>sets each set is individually coloured as denoted by an </a:t>
              </a:r>
              <a:r>
                <a:rPr lang="en-AU" sz="1100" b="1">
                  <a:solidFill>
                    <a:schemeClr val="dk1"/>
                  </a:solidFill>
                  <a:effectLst/>
                  <a:latin typeface="+mn-lt"/>
                  <a:ea typeface="+mn-ea"/>
                  <a:cs typeface="+mn-cs"/>
                </a:rPr>
                <a:t>AB</a:t>
              </a:r>
              <a:r>
                <a:rPr lang="en-AU" sz="1100">
                  <a:solidFill>
                    <a:schemeClr val="dk1"/>
                  </a:solidFill>
                  <a:effectLst/>
                  <a:latin typeface="+mn-lt"/>
                  <a:ea typeface="+mn-ea"/>
                  <a:cs typeface="+mn-cs"/>
                </a:rPr>
                <a:t> pair while </a:t>
              </a:r>
              <a:r>
                <a:rPr lang="en-AU" sz="1100" b="1">
                  <a:solidFill>
                    <a:schemeClr val="dk1"/>
                  </a:solidFill>
                  <a:effectLst/>
                  <a:latin typeface="+mn-lt"/>
                  <a:ea typeface="+mn-ea"/>
                  <a:cs typeface="+mn-cs"/>
                </a:rPr>
                <a:t>n paired self-palindromic</a:t>
              </a:r>
              <a:r>
                <a:rPr lang="en-AU" sz="1100">
                  <a:solidFill>
                    <a:schemeClr val="dk1"/>
                  </a:solidFill>
                  <a:effectLst/>
                  <a:latin typeface="+mn-lt"/>
                  <a:ea typeface="+mn-ea"/>
                  <a:cs typeface="+mn-cs"/>
                </a:rPr>
                <a:t> sets are coloured as denoted by a single </a:t>
              </a:r>
              <a:r>
                <a:rPr lang="en-AU" sz="1100" b="1">
                  <a:solidFill>
                    <a:schemeClr val="dk1"/>
                  </a:solidFill>
                  <a:effectLst/>
                  <a:latin typeface="+mn-lt"/>
                  <a:ea typeface="+mn-ea"/>
                  <a:cs typeface="+mn-cs"/>
                </a:rPr>
                <a:t>S</a:t>
              </a:r>
              <a:r>
                <a:rPr lang="en-AU" sz="1100">
                  <a:solidFill>
                    <a:schemeClr val="dk1"/>
                  </a:solidFill>
                  <a:effectLst/>
                  <a:latin typeface="+mn-lt"/>
                  <a:ea typeface="+mn-ea"/>
                  <a:cs typeface="+mn-cs"/>
                </a:rPr>
                <a:t>. To the right of that, a table is presented for each </a:t>
              </a:r>
              <a:r>
                <a:rPr lang="en-AU" sz="1100" b="1">
                  <a:solidFill>
                    <a:schemeClr val="dk1"/>
                  </a:solidFill>
                  <a:effectLst/>
                  <a:latin typeface="+mn-lt"/>
                  <a:ea typeface="+mn-ea"/>
                  <a:cs typeface="+mn-cs"/>
                </a:rPr>
                <a:t>palindromic</a:t>
              </a:r>
              <a:r>
                <a:rPr lang="en-AU" sz="1100">
                  <a:solidFill>
                    <a:schemeClr val="dk1"/>
                  </a:solidFill>
                  <a:effectLst/>
                  <a:latin typeface="+mn-lt"/>
                  <a:ea typeface="+mn-ea"/>
                  <a:cs typeface="+mn-cs"/>
                </a:rPr>
                <a:t> set that includes columns for </a:t>
              </a:r>
              <a:r>
                <a:rPr lang="en-AU" sz="1100" b="1">
                  <a:solidFill>
                    <a:schemeClr val="dk1"/>
                  </a:solidFill>
                  <a:effectLst/>
                  <a:latin typeface="+mn-lt"/>
                  <a:ea typeface="+mn-ea"/>
                  <a:cs typeface="+mn-cs"/>
                </a:rPr>
                <a:t>Interval</a:t>
              </a:r>
              <a:r>
                <a:rPr lang="en-AU" sz="1100">
                  <a:solidFill>
                    <a:schemeClr val="dk1"/>
                  </a:solidFill>
                  <a:effectLst/>
                  <a:latin typeface="+mn-lt"/>
                  <a:ea typeface="+mn-ea"/>
                  <a:cs typeface="+mn-cs"/>
                </a:rPr>
                <a:t>, </a:t>
              </a:r>
              <a:r>
                <a:rPr lang="en-AU" sz="1100" b="1">
                  <a:solidFill>
                    <a:schemeClr val="dk1"/>
                  </a:solidFill>
                  <a:effectLst/>
                  <a:latin typeface="+mn-lt"/>
                  <a:ea typeface="+mn-ea"/>
                  <a:cs typeface="+mn-cs"/>
                </a:rPr>
                <a:t>Offset</a:t>
              </a:r>
              <a:r>
                <a:rPr lang="en-AU" sz="1100">
                  <a:solidFill>
                    <a:schemeClr val="dk1"/>
                  </a:solidFill>
                  <a:effectLst/>
                  <a:latin typeface="+mn-lt"/>
                  <a:ea typeface="+mn-ea"/>
                  <a:cs typeface="+mn-cs"/>
                </a:rPr>
                <a:t>,</a:t>
              </a:r>
              <a:r>
                <a:rPr lang="en-AU" sz="1100" baseline="0">
                  <a:solidFill>
                    <a:schemeClr val="dk1"/>
                  </a:solidFill>
                  <a:effectLst/>
                  <a:latin typeface="+mn-lt"/>
                  <a:ea typeface="+mn-ea"/>
                  <a:cs typeface="+mn-cs"/>
                </a:rPr>
                <a:t> </a:t>
              </a:r>
              <a:r>
                <a:rPr lang="en-AU" sz="1100" b="1" i="1" baseline="0">
                  <a:solidFill>
                    <a:schemeClr val="dk1"/>
                  </a:solidFill>
                  <a:effectLst/>
                  <a:latin typeface="+mn-lt"/>
                  <a:ea typeface="+mn-ea"/>
                  <a:cs typeface="+mn-cs"/>
                </a:rPr>
                <a:t>X, S</a:t>
              </a:r>
              <a:r>
                <a:rPr lang="en-AU" sz="1100" b="1">
                  <a:solidFill>
                    <a:schemeClr val="dk1"/>
                  </a:solidFill>
                  <a:effectLst/>
                  <a:latin typeface="+mn-lt"/>
                  <a:ea typeface="+mn-ea"/>
                  <a:cs typeface="+mn-cs"/>
                </a:rPr>
                <a:t>equence</a:t>
              </a:r>
              <a:r>
                <a:rPr lang="en-AU" sz="1100" b="0" baseline="0">
                  <a:solidFill>
                    <a:schemeClr val="dk1"/>
                  </a:solidFill>
                  <a:effectLst/>
                  <a:latin typeface="+mn-lt"/>
                  <a:ea typeface="+mn-ea"/>
                  <a:cs typeface="+mn-cs"/>
                </a:rPr>
                <a:t> and where an </a:t>
              </a:r>
              <a:r>
                <a:rPr lang="en-AU" sz="1100" b="1" baseline="0">
                  <a:solidFill>
                    <a:schemeClr val="dk1"/>
                  </a:solidFill>
                  <a:effectLst/>
                  <a:latin typeface="+mn-lt"/>
                  <a:ea typeface="+mn-ea"/>
                  <a:cs typeface="+mn-cs"/>
                </a:rPr>
                <a:t>n paired palindromic</a:t>
              </a:r>
              <a:r>
                <a:rPr lang="en-AU" sz="1100" baseline="0">
                  <a:solidFill>
                    <a:schemeClr val="dk1"/>
                  </a:solidFill>
                  <a:effectLst/>
                  <a:latin typeface="+mn-lt"/>
                  <a:ea typeface="+mn-ea"/>
                  <a:cs typeface="+mn-cs"/>
                </a:rPr>
                <a:t> is asymetrically distributed about the median a </a:t>
              </a:r>
              <a:r>
                <a:rPr lang="en-AU" sz="1100" b="1" i="1" baseline="0">
                  <a:solidFill>
                    <a:schemeClr val="dk1"/>
                  </a:solidFill>
                  <a:effectLst/>
                  <a:latin typeface="+mn-lt"/>
                  <a:ea typeface="+mn-ea"/>
                  <a:cs typeface="+mn-cs"/>
                </a:rPr>
                <a:t>k</a:t>
              </a:r>
              <a:r>
                <a:rPr lang="en-AU" sz="1100" baseline="0">
                  <a:solidFill>
                    <a:schemeClr val="dk1"/>
                  </a:solidFill>
                  <a:effectLst/>
                  <a:latin typeface="+mn-lt"/>
                  <a:ea typeface="+mn-ea"/>
                  <a:cs typeface="+mn-cs"/>
                </a:rPr>
                <a:t> column</a:t>
              </a:r>
              <a:r>
                <a:rPr lang="en-AU" sz="1100">
                  <a:solidFill>
                    <a:schemeClr val="dk1"/>
                  </a:solidFill>
                  <a:effectLst/>
                  <a:latin typeface="+mn-lt"/>
                  <a:ea typeface="+mn-ea"/>
                  <a:cs typeface="+mn-cs"/>
                </a:rPr>
                <a:t>.</a:t>
              </a:r>
              <a:r>
                <a:rPr lang="en-AU" sz="1100" baseline="0">
                  <a:solidFill>
                    <a:schemeClr val="dk1"/>
                  </a:solidFill>
                  <a:effectLst/>
                  <a:latin typeface="+mn-lt"/>
                  <a:ea typeface="+mn-ea"/>
                  <a:cs typeface="+mn-cs"/>
                </a:rPr>
                <a:t> </a:t>
              </a:r>
              <a:r>
                <a:rPr lang="en-AU" sz="1100" b="1" baseline="0">
                  <a:solidFill>
                    <a:schemeClr val="dk1"/>
                  </a:solidFill>
                  <a:effectLst/>
                  <a:latin typeface="+mn-lt"/>
                  <a:ea typeface="+mn-ea"/>
                  <a:cs typeface="+mn-cs"/>
                </a:rPr>
                <a:t>O</a:t>
              </a:r>
              <a:r>
                <a:rPr lang="en-AU" sz="1100" b="1">
                  <a:solidFill>
                    <a:schemeClr val="dk1"/>
                  </a:solidFill>
                  <a:effectLst/>
                  <a:latin typeface="+mn-lt"/>
                  <a:ea typeface="+mn-ea"/>
                  <a:cs typeface="+mn-cs"/>
                </a:rPr>
                <a:t>ffset</a:t>
              </a:r>
              <a:r>
                <a:rPr lang="en-AU" sz="1100">
                  <a:solidFill>
                    <a:schemeClr val="dk1"/>
                  </a:solidFill>
                  <a:effectLst/>
                  <a:latin typeface="+mn-lt"/>
                  <a:ea typeface="+mn-ea"/>
                  <a:cs typeface="+mn-cs"/>
                </a:rPr>
                <a:t> and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are the</a:t>
              </a:r>
              <a:r>
                <a:rPr lang="en-AU" sz="1100" baseline="0">
                  <a:solidFill>
                    <a:schemeClr val="dk1"/>
                  </a:solidFill>
                  <a:effectLst/>
                  <a:latin typeface="+mn-lt"/>
                  <a:ea typeface="+mn-ea"/>
                  <a:cs typeface="+mn-cs"/>
                </a:rPr>
                <a:t> same as that for the sequence in the main table and </a:t>
              </a:r>
              <a:r>
                <a:rPr lang="en-AU" sz="1100" b="1" baseline="0">
                  <a:solidFill>
                    <a:schemeClr val="dk1"/>
                  </a:solidFill>
                  <a:effectLst/>
                  <a:latin typeface="+mn-lt"/>
                  <a:ea typeface="+mn-ea"/>
                  <a:cs typeface="+mn-cs"/>
                </a:rPr>
                <a:t>Interval</a:t>
              </a:r>
              <a:r>
                <a:rPr lang="en-AU" sz="1100" baseline="0">
                  <a:solidFill>
                    <a:schemeClr val="dk1"/>
                  </a:solidFill>
                  <a:effectLst/>
                  <a:latin typeface="+mn-lt"/>
                  <a:ea typeface="+mn-ea"/>
                  <a:cs typeface="+mn-cs"/>
                </a:rPr>
                <a:t> is the difference between the offsets. Each cell in the </a:t>
              </a:r>
              <a:r>
                <a:rPr lang="en-AU" sz="1100" b="1" baseline="0">
                  <a:solidFill>
                    <a:schemeClr val="dk1"/>
                  </a:solidFill>
                  <a:effectLst/>
                  <a:latin typeface="+mn-lt"/>
                  <a:ea typeface="+mn-ea"/>
                  <a:cs typeface="+mn-cs"/>
                </a:rPr>
                <a:t>Sequence</a:t>
              </a:r>
              <a:r>
                <a:rPr lang="en-AU" sz="1100" baseline="0">
                  <a:solidFill>
                    <a:schemeClr val="dk1"/>
                  </a:solidFill>
                  <a:effectLst/>
                  <a:latin typeface="+mn-lt"/>
                  <a:ea typeface="+mn-ea"/>
                  <a:cs typeface="+mn-cs"/>
                </a:rPr>
                <a:t> column combines the i</a:t>
              </a:r>
              <a:r>
                <a:rPr lang="en-AU" sz="1100">
                  <a:solidFill>
                    <a:schemeClr val="dk1"/>
                  </a:solidFill>
                  <a:effectLst/>
                  <a:latin typeface="+mn-lt"/>
                  <a:ea typeface="+mn-ea"/>
                  <a:cs typeface="+mn-cs"/>
                </a:rPr>
                <a:t>ndividual d</a:t>
              </a:r>
              <a:r>
                <a:rPr lang="en-AU" sz="1100" baseline="0">
                  <a:solidFill>
                    <a:schemeClr val="dk1"/>
                  </a:solidFill>
                  <a:effectLst/>
                  <a:latin typeface="+mn-lt"/>
                  <a:ea typeface="+mn-ea"/>
                  <a:cs typeface="+mn-cs"/>
                </a:rPr>
                <a:t>igits</a:t>
              </a:r>
              <a:r>
                <a:rPr lang="en-AU" sz="1100">
                  <a:solidFill>
                    <a:schemeClr val="dk1"/>
                  </a:solidFill>
                  <a:effectLst/>
                  <a:latin typeface="+mn-lt"/>
                  <a:ea typeface="+mn-ea"/>
                  <a:cs typeface="+mn-cs"/>
                </a:rPr>
                <a:t>  from a sequence in the main table to form a word suffixed with the </a:t>
              </a:r>
              <a:r>
                <a:rPr lang="en-AU" sz="1100" b="1">
                  <a:solidFill>
                    <a:schemeClr val="dk1"/>
                  </a:solidFill>
                  <a:effectLst/>
                  <a:latin typeface="+mn-lt"/>
                  <a:ea typeface="+mn-ea"/>
                  <a:cs typeface="+mn-cs"/>
                </a:rPr>
                <a:t>AB</a:t>
              </a:r>
              <a:r>
                <a:rPr lang="en-AU" sz="1100">
                  <a:solidFill>
                    <a:schemeClr val="dk1"/>
                  </a:solidFill>
                  <a:effectLst/>
                  <a:latin typeface="+mn-lt"/>
                  <a:ea typeface="+mn-ea"/>
                  <a:cs typeface="+mn-cs"/>
                </a:rPr>
                <a:t> or </a:t>
              </a:r>
              <a:r>
                <a:rPr lang="en-AU" sz="1100" b="1">
                  <a:solidFill>
                    <a:schemeClr val="dk1"/>
                  </a:solidFill>
                  <a:effectLst/>
                  <a:latin typeface="+mn-lt"/>
                  <a:ea typeface="+mn-ea"/>
                  <a:cs typeface="+mn-cs"/>
                </a:rPr>
                <a:t>S</a:t>
              </a:r>
              <a:r>
                <a:rPr lang="en-AU" sz="1100">
                  <a:solidFill>
                    <a:schemeClr val="dk1"/>
                  </a:solidFill>
                  <a:effectLst/>
                  <a:latin typeface="+mn-lt"/>
                  <a:ea typeface="+mn-ea"/>
                  <a:cs typeface="+mn-cs"/>
                </a:rPr>
                <a:t> designation.</a:t>
              </a:r>
              <a:r>
                <a:rPr lang="en-AU" sz="1100" baseline="0">
                  <a:solidFill>
                    <a:schemeClr val="dk1"/>
                  </a:solidFill>
                  <a:effectLst/>
                  <a:latin typeface="+mn-lt"/>
                  <a:ea typeface="+mn-ea"/>
                  <a:cs typeface="+mn-cs"/>
                </a:rPr>
                <a:t> The </a:t>
              </a:r>
              <a:r>
                <a:rPr lang="en-AU" sz="1100" b="1" i="1">
                  <a:solidFill>
                    <a:schemeClr val="dk1"/>
                  </a:solidFill>
                  <a:effectLst/>
                  <a:latin typeface="+mn-lt"/>
                  <a:ea typeface="+mn-ea"/>
                  <a:cs typeface="+mn-cs"/>
                </a:rPr>
                <a:t>k</a:t>
              </a:r>
              <a:r>
                <a:rPr lang="en-AU" sz="1100">
                  <a:solidFill>
                    <a:schemeClr val="dk1"/>
                  </a:solidFill>
                  <a:effectLst/>
                  <a:latin typeface="+mn-lt"/>
                  <a:ea typeface="+mn-ea"/>
                  <a:cs typeface="+mn-cs"/>
                </a:rPr>
                <a:t> column is</a:t>
              </a:r>
              <a:r>
                <a:rPr lang="en-AU" sz="1100" baseline="0">
                  <a:solidFill>
                    <a:schemeClr val="dk1"/>
                  </a:solidFill>
                  <a:effectLst/>
                  <a:latin typeface="+mn-lt"/>
                  <a:ea typeface="+mn-ea"/>
                  <a:cs typeface="+mn-cs"/>
                </a:rPr>
                <a:t> the order when each </a:t>
              </a:r>
              <a:r>
                <a:rPr lang="en-AU" sz="1100" b="1" baseline="0">
                  <a:solidFill>
                    <a:schemeClr val="dk1"/>
                  </a:solidFill>
                  <a:effectLst/>
                  <a:latin typeface="+mn-lt"/>
                  <a:ea typeface="+mn-ea"/>
                  <a:cs typeface="+mn-cs"/>
                </a:rPr>
                <a:t>A</a:t>
              </a:r>
              <a:r>
                <a:rPr lang="en-AU" sz="1100" baseline="0">
                  <a:solidFill>
                    <a:schemeClr val="dk1"/>
                  </a:solidFill>
                  <a:effectLst/>
                  <a:latin typeface="+mn-lt"/>
                  <a:ea typeface="+mn-ea"/>
                  <a:cs typeface="+mn-cs"/>
                </a:rPr>
                <a:t> and </a:t>
              </a:r>
              <a:r>
                <a:rPr lang="en-AU" sz="1100" b="1" baseline="0">
                  <a:solidFill>
                    <a:schemeClr val="dk1"/>
                  </a:solidFill>
                  <a:effectLst/>
                  <a:latin typeface="+mn-lt"/>
                  <a:ea typeface="+mn-ea"/>
                  <a:cs typeface="+mn-cs"/>
                </a:rPr>
                <a:t>B</a:t>
              </a:r>
              <a:r>
                <a:rPr lang="en-AU" sz="1100" baseline="0">
                  <a:solidFill>
                    <a:schemeClr val="dk1"/>
                  </a:solidFill>
                  <a:effectLst/>
                  <a:latin typeface="+mn-lt"/>
                  <a:ea typeface="+mn-ea"/>
                  <a:cs typeface="+mn-cs"/>
                </a:rPr>
                <a:t> subset of an </a:t>
              </a:r>
              <a:r>
                <a:rPr lang="en-AU" sz="1100" b="1" baseline="0">
                  <a:solidFill>
                    <a:schemeClr val="dk1"/>
                  </a:solidFill>
                  <a:effectLst/>
                  <a:latin typeface="+mn-lt"/>
                  <a:ea typeface="+mn-ea"/>
                  <a:cs typeface="+mn-cs"/>
                </a:rPr>
                <a:t>n paired palindromic</a:t>
              </a:r>
              <a:r>
                <a:rPr lang="en-AU" sz="1100" baseline="0">
                  <a:solidFill>
                    <a:schemeClr val="dk1"/>
                  </a:solidFill>
                  <a:effectLst/>
                  <a:latin typeface="+mn-lt"/>
                  <a:ea typeface="+mn-ea"/>
                  <a:cs typeface="+mn-cs"/>
                </a:rPr>
                <a:t> set is sorted separately. </a:t>
              </a:r>
              <a:r>
                <a:rPr lang="en-AU" sz="1100">
                  <a:solidFill>
                    <a:schemeClr val="dk1"/>
                  </a:solidFill>
                  <a:effectLst/>
                  <a:latin typeface="+mn-lt"/>
                  <a:ea typeface="+mn-ea"/>
                  <a:cs typeface="+mn-cs"/>
                </a:rPr>
                <a:t>These tables provide an additional way of demonstrating the palidromicity of the subsets as the values in these tables change to reflect the state of the main table when it is sorted to a different column. Additionally </a:t>
              </a:r>
              <a:r>
                <a:rPr lang="en-AU" sz="1100" b="1">
                  <a:solidFill>
                    <a:schemeClr val="dk1"/>
                  </a:solidFill>
                  <a:effectLst/>
                  <a:latin typeface="+mn-lt"/>
                  <a:ea typeface="+mn-ea"/>
                  <a:cs typeface="+mn-cs"/>
                </a:rPr>
                <a:t>Offset</a:t>
              </a:r>
              <a:r>
                <a:rPr lang="en-AU" sz="1100">
                  <a:solidFill>
                    <a:schemeClr val="dk1"/>
                  </a:solidFill>
                  <a:effectLst/>
                  <a:latin typeface="+mn-lt"/>
                  <a:ea typeface="+mn-ea"/>
                  <a:cs typeface="+mn-cs"/>
                </a:rPr>
                <a:t>, </a:t>
              </a:r>
              <a:r>
                <a:rPr lang="en-AU" sz="1100" b="1" i="1">
                  <a:solidFill>
                    <a:schemeClr val="dk1"/>
                  </a:solidFill>
                  <a:effectLst/>
                  <a:latin typeface="+mn-lt"/>
                  <a:ea typeface="+mn-ea"/>
                  <a:cs typeface="+mn-cs"/>
                </a:rPr>
                <a:t>X</a:t>
              </a:r>
              <a:r>
                <a:rPr lang="en-AU" sz="1100">
                  <a:solidFill>
                    <a:schemeClr val="dk1"/>
                  </a:solidFill>
                  <a:effectLst/>
                  <a:latin typeface="+mn-lt"/>
                  <a:ea typeface="+mn-ea"/>
                  <a:cs typeface="+mn-cs"/>
                </a:rPr>
                <a:t>, </a:t>
              </a:r>
              <a:r>
                <a:rPr lang="en-AU" sz="1100" b="1" i="1">
                  <a:solidFill>
                    <a:schemeClr val="dk1"/>
                  </a:solidFill>
                  <a:effectLst/>
                  <a:latin typeface="+mn-lt"/>
                  <a:ea typeface="+mn-ea"/>
                  <a:cs typeface="+mn-cs"/>
                </a:rPr>
                <a:t>k</a:t>
              </a:r>
              <a:r>
                <a:rPr lang="en-AU" sz="1100">
                  <a:solidFill>
                    <a:schemeClr val="dk1"/>
                  </a:solidFill>
                  <a:effectLst/>
                  <a:latin typeface="+mn-lt"/>
                  <a:ea typeface="+mn-ea"/>
                  <a:cs typeface="+mn-cs"/>
                </a:rPr>
                <a:t> and </a:t>
              </a:r>
              <a:r>
                <a:rPr lang="en-AU" sz="1100" b="1">
                  <a:solidFill>
                    <a:schemeClr val="dk1"/>
                  </a:solidFill>
                  <a:effectLst/>
                  <a:latin typeface="+mn-lt"/>
                  <a:ea typeface="+mn-ea"/>
                  <a:cs typeface="+mn-cs"/>
                </a:rPr>
                <a:t>Sequence</a:t>
              </a:r>
              <a:r>
                <a:rPr lang="en-AU" sz="1100">
                  <a:solidFill>
                    <a:schemeClr val="dk1"/>
                  </a:solidFill>
                  <a:effectLst/>
                  <a:latin typeface="+mn-lt"/>
                  <a:ea typeface="+mn-ea"/>
                  <a:cs typeface="+mn-cs"/>
                </a:rPr>
                <a:t> in</a:t>
              </a:r>
              <a:r>
                <a:rPr lang="en-AU" sz="1100" baseline="0">
                  <a:solidFill>
                    <a:schemeClr val="dk1"/>
                  </a:solidFill>
                  <a:effectLst/>
                  <a:latin typeface="+mn-lt"/>
                  <a:ea typeface="+mn-ea"/>
                  <a:cs typeface="+mn-cs"/>
                </a:rPr>
                <a:t> each table can also be sorted and as can bee seen,when they are, the intervals still form a palindromic sequence.</a:t>
              </a:r>
              <a:endParaRPr lang="en-AU">
                <a:effectLst/>
              </a:endParaRPr>
            </a:p>
            <a:p>
              <a:endParaRPr lang="en-AU">
                <a:effectLst/>
              </a:endParaRPr>
            </a:p>
            <a:p>
              <a:r>
                <a:rPr lang="en-AU">
                  <a:effectLst/>
                </a:rPr>
                <a:t>Note: as the</a:t>
              </a:r>
              <a:r>
                <a:rPr lang="en-AU" baseline="0">
                  <a:effectLst/>
                </a:rPr>
                <a:t> Excel algorithm to generate 'Inconsistent Calculated Column Formula' warnings  in a table seem to be based predominately on random weather fluxuations these can safely be ignored.</a:t>
              </a:r>
              <a:endParaRPr lang="en-AU">
                <a:effectLst/>
              </a:endParaRPr>
            </a:p>
          </xdr:txBody>
        </xdr:sp>
      </mc:Fallback>
    </mc:AlternateContent>
    <xdr:clientData/>
  </xdr:twoCellAnchor>
  <xdr:twoCellAnchor>
    <xdr:from>
      <xdr:col>0</xdr:col>
      <xdr:colOff>123824</xdr:colOff>
      <xdr:row>24</xdr:row>
      <xdr:rowOff>171450</xdr:rowOff>
    </xdr:from>
    <xdr:to>
      <xdr:col>10</xdr:col>
      <xdr:colOff>9524</xdr:colOff>
      <xdr:row>35</xdr:row>
      <xdr:rowOff>123825</xdr:rowOff>
    </xdr:to>
    <xdr:sp macro="" textlink="">
      <xdr:nvSpPr>
        <xdr:cNvPr id="3" name="TextBox 2">
          <a:extLst>
            <a:ext uri="{FF2B5EF4-FFF2-40B4-BE49-F238E27FC236}">
              <a16:creationId xmlns:a16="http://schemas.microsoft.com/office/drawing/2014/main" id="{A443D651-7924-4B3D-9F4A-8E0A4988B6BA}"/>
            </a:ext>
          </a:extLst>
        </xdr:cNvPr>
        <xdr:cNvSpPr txBox="1"/>
      </xdr:nvSpPr>
      <xdr:spPr>
        <a:xfrm>
          <a:off x="123824" y="5248275"/>
          <a:ext cx="3514725"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solidFill>
                <a:schemeClr val="dk1"/>
              </a:solidFill>
              <a:effectLst/>
              <a:latin typeface="+mn-lt"/>
              <a:ea typeface="+mn-ea"/>
              <a:cs typeface="+mn-cs"/>
            </a:rPr>
            <a:t>Copyright</a:t>
          </a:r>
          <a:r>
            <a:rPr lang="en-AU" sz="1100" baseline="0">
              <a:solidFill>
                <a:schemeClr val="dk1"/>
              </a:solidFill>
              <a:effectLst/>
              <a:latin typeface="+mn-lt"/>
              <a:ea typeface="+mn-ea"/>
              <a:cs typeface="+mn-cs"/>
            </a:rPr>
            <a:t> Stephen Ward 2021</a:t>
          </a:r>
        </a:p>
        <a:p>
          <a:endParaRPr lang="en-AU">
            <a:effectLst/>
          </a:endParaRPr>
        </a:p>
        <a:p>
          <a:r>
            <a:rPr lang="en-AU" sz="1100">
              <a:solidFill>
                <a:schemeClr val="dk1"/>
              </a:solidFill>
              <a:effectLst/>
              <a:latin typeface="+mn-lt"/>
              <a:ea typeface="+mn-ea"/>
              <a:cs typeface="+mn-cs"/>
            </a:rPr>
            <a:t>This work is licensed under the Creative Commons Attribution-ShareAlike 4.0 International License. To view a copy of this license, visit http://creativecommons.org/licenses/by-sa/4.0/ or send a letter to Creative Commons, PO Box 1866, Mountain View, CA 94042, USA.</a:t>
          </a:r>
          <a:endParaRPr lang="en-AU">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1932A21-6A95-4038-B06B-6D64048F0A83}" name="t_B2n4_Intro" displayName="t_B2n4_Intro" ref="D4:H21" totalsRowCount="1" headerRowDxfId="853" tableBorderDxfId="852">
  <autoFilter ref="D4:H20" xr:uid="{409AEDEA-F153-40A5-B4A4-7BF6F9C70DE6}"/>
  <sortState xmlns:xlrd2="http://schemas.microsoft.com/office/spreadsheetml/2017/richdata2" ref="D5:H20">
    <sortCondition ref="F4:F20"/>
  </sortState>
  <tableColumns count="5">
    <tableColumn id="1" xr3:uid="{34C8D063-163B-434E-9E68-8424B84C4274}" name="x" totalsRowLabel="Total"/>
    <tableColumn id="7" xr3:uid="{2AB704F6-2F81-4BFF-A2C2-C922D6504C3B}" name="b3" totalsRowFunction="sum" dataDxfId="851">
      <calculatedColumnFormula>MOD(INT(t_B2n4_Intro[[#This Row],[x]]/$B$1^INT(RIGHT(t_B2n4_Intro[[#Headers],[b3]],1))),$B$1)</calculatedColumnFormula>
    </tableColumn>
    <tableColumn id="2" xr3:uid="{009A2D57-7584-43AC-944E-ED4ADEFB8924}" name="b2" totalsRowFunction="sum" dataDxfId="850">
      <calculatedColumnFormula>MOD(INT(t_B2n4_Intro[[#This Row],[x]]/$B$1^INT(RIGHT(t_B2n4_Intro[[#Headers],[b2]],1))),$B$1)</calculatedColumnFormula>
    </tableColumn>
    <tableColumn id="3" xr3:uid="{CA59D04D-0530-458E-8AF3-5DDA61CBA4F9}" name="b1" totalsRowFunction="sum" dataDxfId="849">
      <calculatedColumnFormula>MOD(INT(t_B2n4_Intro[[#This Row],[x]]/$B$1^INT(RIGHT(t_B2n4_Intro[[#Headers],[b1]],1))),$B$1)</calculatedColumnFormula>
    </tableColumn>
    <tableColumn id="4" xr3:uid="{8DF56E1A-E248-4629-A58C-B81F4CD7092E}" name="b0" totalsRowFunction="sum" dataDxfId="848">
      <calculatedColumnFormula>MOD(INT(t_B2n4_Intro[[#This Row],[x]]/$B$1^INT(RIGHT(t_B2n4_Intro[[#Headers],[b0]],1))),$B$1)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72EDE73-8BE9-40B5-B14E-E0A7B719BC96}" name="t_B2n4_Fixed_Intro" displayName="t_B2n4_Fixed_Intro" ref="A4:C21" totalsRowCount="1" headerRowDxfId="847" tableBorderDxfId="846">
  <tableColumns count="3">
    <tableColumn id="1" xr3:uid="{CC7B3131-0E3F-4B62-BBC5-A3FB41141258}" name="Row" totalsRowLabel="Total" totalsRowDxfId="845"/>
    <tableColumn id="3" xr3:uid="{FB700CA6-B22F-444A-8077-161568EEE65E}" name="Offset" dataDxfId="844" totalsRowDxfId="843">
      <calculatedColumnFormula>ROUNDUP(t_B2n4_Fixed_Intro[[#This Row],[Row]]-$B$3,0)</calculatedColumnFormula>
    </tableColumn>
    <tableColumn id="4" xr3:uid="{C373DAA6-6B21-4079-BEE4-8C4FC5492440}" name="Interval" totalsRowFunction="sum" dataDxfId="842">
      <calculatedColumnFormula>t_B2n4_Intro[[#This Row],[x]]-D4</calculatedColumnFormula>
    </tableColumn>
  </tableColumns>
  <tableStyleInfo name="TableStyleMedium12"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_B2n2" displayName="t_B2n2" ref="D4:G9" totalsRowCount="1" headerRowDxfId="841" tableBorderDxfId="840">
  <autoFilter ref="D4:G8" xr:uid="{00000000-0009-0000-0100-000009000000}"/>
  <sortState xmlns:xlrd2="http://schemas.microsoft.com/office/spreadsheetml/2017/richdata2" ref="D5:G8">
    <sortCondition ref="D4:D8"/>
  </sortState>
  <tableColumns count="4">
    <tableColumn id="1" xr3:uid="{00000000-0010-0000-0000-000001000000}" name="x" totalsRowLabel="Total"/>
    <tableColumn id="3" xr3:uid="{00000000-0010-0000-0000-000003000000}" name="b1" totalsRowFunction="sum" dataDxfId="839">
      <calculatedColumnFormula>MOD(INT(t_B2n2[[#This Row],[x]]/$B$1^INT(RIGHT(t_B2n2[[#Headers],[b1]],1))),$B$1)</calculatedColumnFormula>
    </tableColumn>
    <tableColumn id="4" xr3:uid="{00000000-0010-0000-0000-000004000000}" name="b0" totalsRowFunction="sum" dataDxfId="838">
      <calculatedColumnFormula>MOD(INT(t_B2n2[[#This Row],[x]]/$B$1^INT(RIGHT(t_B2n2[[#Headers],[b0]],1))),$B$1)</calculatedColumnFormula>
    </tableColumn>
    <tableColumn id="5" xr3:uid="{00000000-0010-0000-0000-000005000000}" name="Permutation_x000a_" dataDxfId="837">
      <calculatedColumnFormula array="1">IF(SUM(IF(COUNTIF(t_B2n2[[#This Row],[b1]:[b0]],t_B2n2[[#This Row],[b1]:[b0]])=1,1,0))=$B$1,"←Perm","")</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_B2n2_Fixed" displayName="t_B2n2_Fixed" ref="A4:C9" totalsRowCount="1" tableBorderDxfId="836">
  <tableColumns count="3">
    <tableColumn id="1" xr3:uid="{00000000-0010-0000-0100-000001000000}" name="Row" totalsRowLabel="Total" totalsRowDxfId="835"/>
    <tableColumn id="3" xr3:uid="{A843C82D-1894-4F33-9737-2FC3784428EE}" name="Offset" dataDxfId="834" totalsRowDxfId="833">
      <calculatedColumnFormula>ROUNDUP(t_B2n2_Fixed[[#This Row],[Row]]-$B$3,0)</calculatedColumnFormula>
    </tableColumn>
    <tableColumn id="4" xr3:uid="{DB4CAC27-5067-4187-A783-FF09AFB55AE0}" name="Interval" totalsRowFunction="sum" dataDxfId="832">
      <calculatedColumnFormula>t_B2n2[[#This Row],[x]]-D4</calculatedColumnFormula>
    </tableColumn>
  </tableColumns>
  <tableStyleInfo name="TableStyleMedium12"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80C6F1D-2B4C-40D9-BA70-C0B7676794FA}" name="t_B2n2_AB1" displayName="t_B2n2_AB1" ref="R4:T6" tableBorderDxfId="831">
  <autoFilter ref="R4:T6" xr:uid="{380C6F1D-2B4C-40D9-BA70-C0B7676794FA}"/>
  <sortState xmlns:xlrd2="http://schemas.microsoft.com/office/spreadsheetml/2017/richdata2" ref="R5:T6">
    <sortCondition ref="R4:R6"/>
  </sortState>
  <tableColumns count="3">
    <tableColumn id="2" xr3:uid="{F9325884-3C05-474E-B9F3-5B7EB18252C2}" name="Offset" totalsRowFunction="sum" totalsRowDxfId="830">
      <calculatedColumnFormula>INDEX(t_B2n2_Fixed[Offset],MATCH($A$8,t_B2n2[x],0),1)</calculatedColumnFormula>
    </tableColumn>
    <tableColumn id="1" xr3:uid="{E06F0A08-C676-4CC6-AEA8-5BB19B8328C7}" name="X" totalsRowDxfId="829"/>
    <tableColumn id="3" xr3:uid="{0A5DC82C-65A4-4358-943F-A2355F5EBA1C}" name="Sequence" totalsRowDxfId="82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ECB2D81A-45E9-466C-9DF7-E11E8F54A957}" name="t_B2n2_S1" displayName="t_B2n2_S1" ref="X4:Z6" tableBorderDxfId="827">
  <autoFilter ref="X4:Z6" xr:uid="{ECB2D81A-45E9-466C-9DF7-E11E8F54A957}"/>
  <sortState xmlns:xlrd2="http://schemas.microsoft.com/office/spreadsheetml/2017/richdata2" ref="X5:Z6">
    <sortCondition ref="X4:X6"/>
  </sortState>
  <tableColumns count="3">
    <tableColumn id="2" xr3:uid="{42917AE8-1506-48B2-AD5C-4BFA7E46021B}" name="Offset" totalsRowFunction="sum" totalsRowDxfId="826">
      <calculatedColumnFormula>INDEX(t_B2n2_Fixed[Offset],MATCH($A$7,t_B2n2[x],0),1)</calculatedColumnFormula>
    </tableColumn>
    <tableColumn id="1" xr3:uid="{F34F9522-7064-4F8D-8B19-C4F0E052E774}" name="X" totalsRowDxfId="825"/>
    <tableColumn id="3" xr3:uid="{AF8DAFFD-E77F-4836-8C54-36377DF2A491}" name="Sequence" dataDxfId="824" totalsRowDxfId="82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5B2E765E-2389-46D6-8E2E-5D287CD0FCD0}" name="t_B2n2_AB1_Interval" displayName="t_B2n2_AB1_Interval" ref="Q4:Q6" headerRowDxfId="822" tableBorderDxfId="821">
  <tableColumns count="1">
    <tableColumn id="1" xr3:uid="{023164D9-2841-434E-8100-C404C3683FCD}" name="Interval" totalsRowDxfId="820">
      <calculatedColumnFormula>t_B2n2_AB1[[#This Row],[Offset]]-R4</calculatedColumnFormula>
    </tableColumn>
  </tableColumns>
  <tableStyleInfo name="TableStyleMedium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D433715-1FBA-4A9B-8084-009828F4797E}" name="t_B2n2_S1_Interval" displayName="t_B2n2_S1_Interval" ref="W4:W6" headerRowDxfId="819" tableBorderDxfId="818">
  <tableColumns count="1">
    <tableColumn id="1" xr3:uid="{EC999B63-469F-4053-83EC-A171DA3514D6}" name="Interval" totalsRowDxfId="817">
      <calculatedColumnFormula>t_B2n2_S1[[#This Row],[Offset]]-X4</calculatedColumnFormula>
    </tableColumn>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2000000}" name="t_B2n3" displayName="t_B2n3" ref="D4:G13" totalsRowCount="1" headerRowDxfId="816" tableBorderDxfId="815">
  <autoFilter ref="D4:G12" xr:uid="{00000000-0009-0000-0100-000015000000}"/>
  <sortState xmlns:xlrd2="http://schemas.microsoft.com/office/spreadsheetml/2017/richdata2" ref="D5:G12">
    <sortCondition ref="D4:D12"/>
  </sortState>
  <tableColumns count="4">
    <tableColumn id="1" xr3:uid="{00000000-0010-0000-0200-000001000000}" name="x" totalsRowLabel="Total"/>
    <tableColumn id="2" xr3:uid="{00000000-0010-0000-0200-000002000000}" name="b2" totalsRowFunction="sum" dataDxfId="814">
      <calculatedColumnFormula>MOD(INT(t_B2n3[[#This Row],[x]]/$B$1^INT(RIGHT(t_B2n3[[#Headers],[b2]],1))),$B$1)</calculatedColumnFormula>
    </tableColumn>
    <tableColumn id="3" xr3:uid="{00000000-0010-0000-0200-000003000000}" name="b1" totalsRowFunction="sum" dataDxfId="813">
      <calculatedColumnFormula>MOD(INT(t_B2n3[[#This Row],[x]]/$B$1^INT(RIGHT(t_B2n3[[#Headers],[b1]],1))),$B$1)</calculatedColumnFormula>
    </tableColumn>
    <tableColumn id="4" xr3:uid="{00000000-0010-0000-0200-000004000000}" name="b0" totalsRowFunction="sum" dataDxfId="812">
      <calculatedColumnFormula>MOD(INT(t_B2n3[[#This Row],[x]]/$B$1^INT(RIGHT(t_B2n3[[#Headers],[b0]],1))),$B$1)</calculatedColumnFormula>
    </tableColumn>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3000000}" name="t_B2n3_Fixed" displayName="t_B2n3_Fixed" ref="A4:C13" totalsRowCount="1" headerRowDxfId="811" tableBorderDxfId="810">
  <tableColumns count="3">
    <tableColumn id="1" xr3:uid="{00000000-0010-0000-0300-000001000000}" name="Row" totalsRowLabel="Total" totalsRowDxfId="809"/>
    <tableColumn id="3" xr3:uid="{01315839-9704-4151-8110-234403586238}" name="Offset" dataDxfId="808" totalsRowDxfId="807">
      <calculatedColumnFormula>ROUNDUP(t_B2n3_Fixed[[#This Row],[Row]]-$B$3,0)</calculatedColumnFormula>
    </tableColumn>
    <tableColumn id="4" xr3:uid="{A0ACE481-EEFA-4490-87CF-DF27C6FEE31F}" name="Interval" totalsRowFunction="sum" dataDxfId="806">
      <calculatedColumnFormula>t_B2n3[[#This Row],[x]]-D4</calculatedColumnFormula>
    </tableColumn>
  </tableColumns>
  <tableStyleInfo name="TableStyleMedium12"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F981E53B-C65F-4646-B5C0-9AAE0212F681}" name="t_B2n3_AB" displayName="t_B2n3_AB" ref="X4:AA10" tableBorderDxfId="805">
  <autoFilter ref="X4:AA10" xr:uid="{F981E53B-C65F-4646-B5C0-9AAE0212F681}"/>
  <sortState xmlns:xlrd2="http://schemas.microsoft.com/office/spreadsheetml/2017/richdata2" ref="X5:AA10">
    <sortCondition ref="X4:X10"/>
  </sortState>
  <tableColumns count="4">
    <tableColumn id="2" xr3:uid="{52B1AB87-FBED-4A91-B068-B98780AFFD74}" name="Offset" totalsRowFunction="sum" totalsRowDxfId="804"/>
    <tableColumn id="1" xr3:uid="{52B32F02-9C0A-4CF6-ACEB-DCBDF9767E0C}" name="k" totalsRowDxfId="803"/>
    <tableColumn id="6" xr3:uid="{7315AF19-5F3F-4A9C-A03F-881DB5073B2C}" name="X" totalsRowDxfId="802"/>
    <tableColumn id="3" xr3:uid="{216626EB-ADA8-4412-8860-CEE89FE9034E}" name="Sequence" dataDxfId="801" totalsRowDxfId="80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953C59F6-D358-4C51-BAAD-E64DC961E659}" name="t_B2n3_AB1_Interval" displayName="t_B2n3_AB1_Interval" ref="Q4:Q6" headerRowDxfId="799" tableBorderDxfId="798">
  <tableColumns count="1">
    <tableColumn id="1" xr3:uid="{4ED3240A-A88A-4BCF-A5FA-5BEEB8EDC0FB}" name="Interval" totalsRowDxfId="797">
      <calculatedColumnFormula>B2n3!$S5-S4</calculatedColumnFormula>
    </tableColumn>
  </tableColumns>
  <tableStyleInfo name="TableStyleMedium1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006187C7-0BD6-44B0-94C6-90E58D52EB1E}" name="t_B2n3_AB_Interval" displayName="t_B2n3_AB_Interval" ref="W4:W10" headerRowDxfId="796" tableBorderDxfId="795">
  <tableColumns count="1">
    <tableColumn id="1" xr3:uid="{7B68EC72-A77B-4065-A720-3975B07AE3FD}" name="Interval" totalsRowFunction="sum" totalsRowDxfId="794">
      <calculatedColumnFormula>t_B2n3_AB[[#This Row],[Offset]]-X4</calculatedColumnFormula>
    </tableColumn>
  </tableColumns>
  <tableStyleInfo name="TableStyleMedium1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B77F8CE-0534-4122-B0E1-564C3DA7D1A3}" name="t_B2n3_AB1" displayName="t_B2n3_AB1" ref="R4:T6" headerRowBorderDxfId="793" tableBorderDxfId="792">
  <autoFilter ref="R4:T6" xr:uid="{0B77F8CE-0534-4122-B0E1-564C3DA7D1A3}"/>
  <sortState xmlns:xlrd2="http://schemas.microsoft.com/office/spreadsheetml/2017/richdata2" ref="R5:T6">
    <sortCondition ref="R4:R6"/>
  </sortState>
  <tableColumns count="3">
    <tableColumn id="1" xr3:uid="{5B383732-D56D-4F42-ACC7-D6AC9240BFC7}" name="Offset" totalsRowFunction="sum">
      <calculatedColumnFormula>INDEX(t_B2n3_Fixed[Offset],MATCH($A$12,t_B2n3[x],0),1)</calculatedColumnFormula>
    </tableColumn>
    <tableColumn id="2" xr3:uid="{CD1D4922-5E1E-4839-AB95-410A3F4179BC}" name="X">
      <calculatedColumnFormula>INDEX(t_B2n3_Fixed[Offset],MATCH($A$12,t_B2n3[x],0),1)</calculatedColumnFormula>
    </tableColumn>
    <tableColumn id="3" xr3:uid="{39135325-B18A-4194-A912-B78CC66A01D6}" name="Sequence" totalsRowFunction="count"/>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4000000}" name="t_B2n4" displayName="t_B2n4" ref="D4:H21" totalsRowCount="1" headerRowDxfId="791" tableBorderDxfId="790">
  <autoFilter ref="D4:H20" xr:uid="{00000000-0009-0000-0100-000013000000}"/>
  <sortState xmlns:xlrd2="http://schemas.microsoft.com/office/spreadsheetml/2017/richdata2" ref="D5:H20">
    <sortCondition ref="D4:D20"/>
  </sortState>
  <tableColumns count="5">
    <tableColumn id="1" xr3:uid="{00000000-0010-0000-0400-000001000000}" name="x" totalsRowLabel="Total"/>
    <tableColumn id="7" xr3:uid="{00000000-0010-0000-0400-000007000000}" name="b3" totalsRowFunction="sum" dataDxfId="789">
      <calculatedColumnFormula>MOD(INT(t_B2n4[[#This Row],[x]]/$B$1^INT(RIGHT(t_B2n4[[#Headers],[b3]],1))),$B$1)</calculatedColumnFormula>
    </tableColumn>
    <tableColumn id="2" xr3:uid="{00000000-0010-0000-0400-000002000000}" name="b2" totalsRowFunction="sum" dataDxfId="788">
      <calculatedColumnFormula>MOD(INT(t_B2n4[[#This Row],[x]]/$B$1^INT(RIGHT(t_B2n4[[#Headers],[b2]],1))),$B$1)</calculatedColumnFormula>
    </tableColumn>
    <tableColumn id="3" xr3:uid="{00000000-0010-0000-0400-000003000000}" name="b1" totalsRowFunction="sum" dataDxfId="787">
      <calculatedColumnFormula>MOD(INT(t_B2n4[[#This Row],[x]]/$B$1^INT(RIGHT(t_B2n4[[#Headers],[b1]],1))),$B$1)</calculatedColumnFormula>
    </tableColumn>
    <tableColumn id="4" xr3:uid="{00000000-0010-0000-0400-000004000000}" name="b0" totalsRowFunction="sum" dataDxfId="786">
      <calculatedColumnFormula>MOD(INT(t_B2n4[[#This Row],[x]]/$B$1^INT(RIGHT(t_B2n4[[#Headers],[b0]],1))),$B$1)</calculatedColumnFormula>
    </tableColumn>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_B2n4_Fixed" displayName="t_B2n4_Fixed" ref="A4:C21" totalsRowCount="1" headerRowDxfId="785" tableBorderDxfId="784">
  <tableColumns count="3">
    <tableColumn id="1" xr3:uid="{00000000-0010-0000-0500-000001000000}" name="Row" totalsRowLabel="Total" totalsRowDxfId="783"/>
    <tableColumn id="3" xr3:uid="{E8C45DD5-3935-4EB8-B661-3566F6274AB4}" name="Offset" dataDxfId="782" totalsRowDxfId="781">
      <calculatedColumnFormula>ROUNDUP(t_B2n4_Fixed[[#This Row],[Row]]-$B$3,0)</calculatedColumnFormula>
    </tableColumn>
    <tableColumn id="4" xr3:uid="{8F58C7C0-E942-444D-AED9-E381636F67B5}" name="Interval" totalsRowFunction="sum" dataDxfId="780">
      <calculatedColumnFormula>t_B2n4[[#This Row],[x]]-D4</calculatedColumnFormula>
    </tableColumn>
  </tableColumns>
  <tableStyleInfo name="TableStyleMedium12"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CF62E135-B6A8-4068-BBFA-1CF43B0B47A4}" name="t_B2n4_AB2" displayName="t_B2n4_AB2" ref="Y4:AB12" tableBorderDxfId="779">
  <autoFilter ref="Y4:AB12" xr:uid="{CF62E135-B6A8-4068-BBFA-1CF43B0B47A4}"/>
  <sortState xmlns:xlrd2="http://schemas.microsoft.com/office/spreadsheetml/2017/richdata2" ref="Y5:AB12">
    <sortCondition ref="Y4:Y12"/>
  </sortState>
  <tableColumns count="4">
    <tableColumn id="2" xr3:uid="{236DF798-3929-40D2-9042-C2C67006E858}" name="Offset" totalsRowFunction="sum" totalsRowDxfId="778"/>
    <tableColumn id="1" xr3:uid="{63A2602B-AE9F-4FD5-B039-45D0535986E2}" name="k" totalsRowDxfId="777"/>
    <tableColumn id="4" xr3:uid="{2349AEE2-40D6-4C93-BB2A-7AB017AA8965}" name="X" totalsRowDxfId="776"/>
    <tableColumn id="3" xr3:uid="{891A078B-D6C4-4B0F-BD8C-BBF6A8382FD4}" name="Sequence" dataDxfId="775" totalsRowDxfId="774"/>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B364DF4D-9F91-4203-86C1-CDEA016F5FF2}" name="t_B2n4_S2" displayName="t_B2n4_S2" ref="AL4:AN8" tableBorderDxfId="773">
  <autoFilter ref="AL4:AN8" xr:uid="{B364DF4D-9F91-4203-86C1-CDEA016F5FF2}"/>
  <sortState xmlns:xlrd2="http://schemas.microsoft.com/office/spreadsheetml/2017/richdata2" ref="AL5:AN8">
    <sortCondition ref="AL4:AL8"/>
  </sortState>
  <tableColumns count="3">
    <tableColumn id="2" xr3:uid="{407BC57F-2869-456C-8137-8CCB153D09B4}" name="Offset" totalsRowFunction="sum" totalsRowDxfId="772"/>
    <tableColumn id="1" xr3:uid="{BC7F574D-276B-45FB-AC32-1DF8348F9F23}" name="X" totalsRowDxfId="771"/>
    <tableColumn id="3" xr3:uid="{FCEE7794-CFC7-4C9D-AAE0-B0EAFB224305}" name="Sequence" dataDxfId="770" totalsRowDxfId="769"/>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E00F0D63-0929-4561-96D8-CBB85D01DEFC}" name="t_B2n4_AB1_Interval" displayName="t_B2n4_AB1_Interval" ref="R4:R6" headerRowDxfId="768" tableBorderDxfId="767">
  <tableColumns count="1">
    <tableColumn id="1" xr3:uid="{E33353C1-B6A5-4264-8329-F288412F1F6B}" name="Interval" totalsRowDxfId="766">
      <calculatedColumnFormula>B2n4!$T5-T4</calculatedColumnFormula>
    </tableColumn>
  </tableColumns>
  <tableStyleInfo name="TableStyleMedium1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00A0F5B0-C225-4974-A086-4914D3846C20}" name="t_B2n4_AB2_Interval" displayName="t_B2n4_AB2_Interval" ref="X4:X12" headerRowDxfId="765" tableBorderDxfId="764">
  <tableColumns count="1">
    <tableColumn id="1" xr3:uid="{52CBBF61-C9F3-4837-B9C0-656E0A1EF834}" name="Interval" totalsRowDxfId="763">
      <calculatedColumnFormula>t_B2n4_AB2[[#This Row],[Offset]]-Y4</calculatedColumnFormula>
    </tableColumn>
  </tableColumns>
  <tableStyleInfo name="TableStyleMedium1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5BDC0C3-1A29-4B5A-A33B-B62D745403F4}" name="t_B2n4_S1_Interval" displayName="t_B2n4_S1_Interval" ref="AE4:AE6" headerRowDxfId="762" tableBorderDxfId="761">
  <tableColumns count="1">
    <tableColumn id="1" xr3:uid="{8943A9CC-6C0C-4E59-BAB5-67312B5B2823}" name="Interval" totalsRowDxfId="760">
      <calculatedColumnFormula>B2n4!$AG5-AG4</calculatedColumnFormula>
    </tableColumn>
  </tableColumns>
  <tableStyleInfo name="TableStyleMedium1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B2C2AE3F-FBF0-4B40-88B0-F0A6B00E0EAD}" name="t_B2n4_S2_Interval" displayName="t_B2n4_S2_Interval" ref="AK4:AK8" headerRowDxfId="759" tableBorderDxfId="758">
  <tableColumns count="1">
    <tableColumn id="1" xr3:uid="{A9F74C2B-54ED-46AA-A5E8-82B28F5116E5}" name="Interval" totalsRowDxfId="757">
      <calculatedColumnFormula>t_B2n4_S2[[#This Row],[Offset]]-AL4</calculatedColumnFormula>
    </tableColumn>
  </tableColumns>
  <tableStyleInfo name="TableStyleMedium1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1FC5978-1682-4A31-90BA-E75F3733A804}" name="t_B2n4_AB1" displayName="t_B2n4_AB1" ref="S4:U6" headerRowBorderDxfId="756" tableBorderDxfId="755">
  <autoFilter ref="S4:U6" xr:uid="{B1FC5978-1682-4A31-90BA-E75F3733A804}"/>
  <sortState xmlns:xlrd2="http://schemas.microsoft.com/office/spreadsheetml/2017/richdata2" ref="S5:U6">
    <sortCondition ref="S4:S6"/>
  </sortState>
  <tableColumns count="3">
    <tableColumn id="1" xr3:uid="{1FD6E8ED-0CD1-47B6-AF7E-C563E7998479}" name="Offset" totalsRowFunction="sum">
      <calculatedColumnFormula>INDEX(t_B2n4_Fixed[Offset],MATCH($A$20,t_B2n4[x],0),1)</calculatedColumnFormula>
    </tableColumn>
    <tableColumn id="2" xr3:uid="{13CCA401-FF50-46ED-8E95-FC37DDAAB036}" name="X">
      <calculatedColumnFormula>INDEX(t_B2n4_Fixed[Offset],MATCH($A$20,t_B2n4[x],0),1)</calculatedColumnFormula>
    </tableColumn>
    <tableColumn id="3" xr3:uid="{CAF88C80-7528-4E3B-89FC-A672E77E6B81}" name="Sequence" totalsRowFunction="count"/>
  </tableColumns>
  <tableStyleInfo name="TableStyleMedium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27E37F21-D1AB-49F5-83E9-A8D26EF13916}" name="t_B2n4_S1" displayName="t_B2n4_S1" ref="AF4:AH6" headerRowBorderDxfId="754" tableBorderDxfId="753">
  <autoFilter ref="AF4:AH6" xr:uid="{27E37F21-D1AB-49F5-83E9-A8D26EF13916}"/>
  <sortState xmlns:xlrd2="http://schemas.microsoft.com/office/spreadsheetml/2017/richdata2" ref="AF5:AH6">
    <sortCondition ref="AF4:AF6"/>
  </sortState>
  <tableColumns count="3">
    <tableColumn id="1" xr3:uid="{3669E18E-FF37-4410-90A4-40985D6CB626}" name="Offset" totalsRowFunction="sum">
      <calculatedColumnFormula>INDEX(t_B2n4_Fixed[Offset],MATCH($A$15,t_B2n4[x],0),1)</calculatedColumnFormula>
    </tableColumn>
    <tableColumn id="2" xr3:uid="{03467020-DBE5-4BF8-A1E6-1F20C0ACE7E7}" name="X">
      <calculatedColumnFormula>INDEX(t_B2n4_Fixed[Offset],MATCH($A$15,t_B2n4[x],0),1)</calculatedColumnFormula>
    </tableColumn>
    <tableColumn id="3" xr3:uid="{9B841E52-F881-40E8-A984-D80677D731DF}" name="Sequence" totalsRowFunction="count" dataDxfId="752" totalsRowDxfId="751"/>
  </tableColumns>
  <tableStyleInfo name="TableStyleMedium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_B2n5" displayName="t_B2n5" ref="D4:I37" totalsRowCount="1" headerRowDxfId="750" tableBorderDxfId="749">
  <autoFilter ref="D4:I36" xr:uid="{00000000-0009-0000-0100-000007000000}"/>
  <sortState xmlns:xlrd2="http://schemas.microsoft.com/office/spreadsheetml/2017/richdata2" ref="D5:I36">
    <sortCondition ref="D4:D36"/>
  </sortState>
  <tableColumns count="6">
    <tableColumn id="1" xr3:uid="{00000000-0010-0000-0600-000001000000}" name="x" totalsRowLabel="Total"/>
    <tableColumn id="5" xr3:uid="{00000000-0010-0000-0600-000005000000}" name="b4" totalsRowFunction="sum" dataDxfId="748">
      <calculatedColumnFormula>MOD(INT(t_B2n5[[#This Row],[x]]/$B$1^INT(RIGHT(t_B2n5[[#Headers],[b4]],1))),$B$1)</calculatedColumnFormula>
    </tableColumn>
    <tableColumn id="7" xr3:uid="{00000000-0010-0000-0600-000007000000}" name="b3" totalsRowFunction="sum" dataDxfId="747">
      <calculatedColumnFormula>MOD(INT(t_B2n5[[#This Row],[x]]/$B$1^INT(RIGHT(t_B2n5[[#Headers],[b3]],1))),$B$1)</calculatedColumnFormula>
    </tableColumn>
    <tableColumn id="2" xr3:uid="{00000000-0010-0000-0600-000002000000}" name="b2" totalsRowFunction="sum" dataDxfId="746">
      <calculatedColumnFormula>MOD(INT(t_B2n5[[#This Row],[x]]/$B$1^INT(RIGHT(t_B2n5[[#Headers],[b2]],1))),$B$1)</calculatedColumnFormula>
    </tableColumn>
    <tableColumn id="3" xr3:uid="{00000000-0010-0000-0600-000003000000}" name="b1" totalsRowFunction="sum" dataDxfId="745">
      <calculatedColumnFormula>MOD(INT(t_B2n5[[#This Row],[x]]/$B$1^INT(RIGHT(t_B2n5[[#Headers],[b1]],1))),$B$1)</calculatedColumnFormula>
    </tableColumn>
    <tableColumn id="4" xr3:uid="{00000000-0010-0000-0600-000004000000}" name="b0" totalsRowFunction="sum" dataDxfId="744">
      <calculatedColumnFormula>MOD(INT(t_B2n5[[#This Row],[x]]/$B$1^INT(RIGHT(t_B2n5[[#Headers],[b0]],1))),$B$1)</calculatedColumnFormula>
    </tableColumn>
  </tableColumns>
  <tableStyleInfo name="TableStyleMedium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_B2n5_Fixed" displayName="t_B2n5_Fixed" ref="A4:C37" totalsRowCount="1" headerRowDxfId="743" tableBorderDxfId="742">
  <tableColumns count="3">
    <tableColumn id="1" xr3:uid="{00000000-0010-0000-0700-000001000000}" name="Row" totalsRowLabel="Total" totalsRowDxfId="741"/>
    <tableColumn id="3" xr3:uid="{DB9DA414-F31B-4892-A5CE-6AA383840F21}" name="Offset" dataDxfId="740" totalsRowDxfId="739">
      <calculatedColumnFormula>ROUNDUP(t_B2n5_Fixed[[#This Row],[Row]]-$B$3,0)</calculatedColumnFormula>
    </tableColumn>
    <tableColumn id="4" xr3:uid="{9DBDF4DB-F0E3-4CA8-8370-8568AD89ED66}" name="Interval" totalsRowFunction="sum" dataDxfId="738">
      <calculatedColumnFormula>t_B2n5[[#This Row],[x]]-D4</calculatedColumnFormula>
    </tableColumn>
  </tableColumns>
  <tableStyleInfo name="TableStyleMedium12" showFirstColumn="1"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8131E467-DF1F-4469-99C2-8EA765F925C3}" name="t_B2n5_AB2" displayName="t_B2n5_AB2" ref="AF4:AI14" tableBorderDxfId="737">
  <autoFilter ref="AF4:AI14" xr:uid="{8131E467-DF1F-4469-99C2-8EA765F925C3}"/>
  <sortState xmlns:xlrd2="http://schemas.microsoft.com/office/spreadsheetml/2017/richdata2" ref="AF5:AI14">
    <sortCondition ref="AF4:AF14"/>
  </sortState>
  <tableColumns count="4">
    <tableColumn id="2" xr3:uid="{1176D6AF-2610-4AC4-8365-D86CC9D2B6C0}" name="Offset" totalsRowFunction="sum" totalsRowDxfId="736"/>
    <tableColumn id="1" xr3:uid="{30B18576-2E63-4B83-8275-EBB54F06FA8A}" name="k" totalsRowDxfId="735"/>
    <tableColumn id="4" xr3:uid="{A71C50DC-3FB0-4053-998E-5BB48C5228A1}" name="X" totalsRowDxfId="734"/>
    <tableColumn id="3" xr3:uid="{D0FBD997-F839-4840-87E6-BF96915380F5}" name="Sequence" dataDxfId="733" totalsRowDxfId="732"/>
  </tableColumns>
  <tableStyleInfo name="TableStyleMedium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43F7072B-AE0B-42DD-A454-CF94B6555204}" name="t_B2n5_AB3" displayName="t_B2n5_AB3" ref="AM4:AP14" tableBorderDxfId="731">
  <autoFilter ref="AM4:AP14" xr:uid="{43F7072B-AE0B-42DD-A454-CF94B6555204}"/>
  <sortState xmlns:xlrd2="http://schemas.microsoft.com/office/spreadsheetml/2017/richdata2" ref="AM5:AP14">
    <sortCondition ref="AM4:AM14"/>
  </sortState>
  <tableColumns count="4">
    <tableColumn id="2" xr3:uid="{F1DAB729-4063-47F9-8C6E-83FB74947B13}" name="Offset" totalsRowFunction="sum" totalsRowDxfId="730"/>
    <tableColumn id="1" xr3:uid="{D30944EF-023C-4C6A-BC46-A538CCAB5F90}" name="k" totalsRowDxfId="729"/>
    <tableColumn id="4" xr3:uid="{3CF96BB8-1476-4C3F-BDDF-273894B95A52}" name="X" totalsRowDxfId="728"/>
    <tableColumn id="3" xr3:uid="{2C8E3927-43FF-4D5D-AA12-B64E4291BAC0}" name="Sequence" dataDxfId="727" totalsRowDxfId="726"/>
  </tableColumns>
  <tableStyleInfo name="TableStyleMedium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57999D4F-DD6C-4158-BE95-447CA1A2F719}" name="t_B2n5_AB4" displayName="t_B2n5_AB4" ref="AT4:AW14" tableBorderDxfId="725">
  <autoFilter ref="AT4:AW14" xr:uid="{57999D4F-DD6C-4158-BE95-447CA1A2F719}"/>
  <sortState xmlns:xlrd2="http://schemas.microsoft.com/office/spreadsheetml/2017/richdata2" ref="AT5:AW14">
    <sortCondition ref="AT4:AT14"/>
  </sortState>
  <tableColumns count="4">
    <tableColumn id="2" xr3:uid="{DF679785-08FF-4071-9DAA-73C2B8D841BC}" name="Offset" totalsRowFunction="sum" totalsRowDxfId="724"/>
    <tableColumn id="1" xr3:uid="{9A5986E7-2058-45A3-9C91-FA4C43F601AA}" name="k" totalsRowDxfId="723"/>
    <tableColumn id="4" xr3:uid="{E74C8FA4-E1E5-4637-AA48-2C50B293F2CC}" name="X" totalsRowDxfId="722"/>
    <tableColumn id="3" xr3:uid="{6FF2F78C-4308-43C5-A86D-21A8D6B44F88}" name="Sequence" dataDxfId="721" totalsRowDxfId="720"/>
  </tableColumns>
  <tableStyleInfo name="TableStyleMedium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6A0A81D7-5607-4F07-86E7-255EABB14092}" name="t_B2n5_AB1_Interval" displayName="t_B2n5_AB1_Interval" ref="Y4:Y6" headerRowDxfId="719" tableBorderDxfId="718">
  <tableColumns count="1">
    <tableColumn id="1" xr3:uid="{DD760D37-8929-4B97-929F-D2EFD5E17C7A}" name="Interval" totalsRowDxfId="717">
      <calculatedColumnFormula>B2n5!$AA5-AA4</calculatedColumnFormula>
    </tableColumn>
  </tableColumns>
  <tableStyleInfo name="TableStyleMedium1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2B3E6489-ECDC-4691-A865-21DAD2DC7E5D}" name="t_B2n5_AB2_Interval" displayName="t_B2n5_AB2_Interval" ref="AE4:AE14" headerRowDxfId="716" tableBorderDxfId="715">
  <tableColumns count="1">
    <tableColumn id="1" xr3:uid="{C73C3866-B686-4830-85D3-DF147B7395A7}" name="Interval" totalsRowDxfId="714">
      <calculatedColumnFormula>t_B2n5_AB2[[#This Row],[Offset]]-AF4</calculatedColumnFormula>
    </tableColumn>
  </tableColumns>
  <tableStyleInfo name="TableStyleMedium1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62B6E976-FD24-4992-A67A-979C620C76D3}" name="t_B2n5_AB3_Interval" displayName="t_B2n5_AB3_Interval" ref="AL4:AL14" headerRowDxfId="713" tableBorderDxfId="712">
  <tableColumns count="1">
    <tableColumn id="1" xr3:uid="{5E5A2D67-9CC1-4C82-B6AA-D814CB4BA5EE}" name="Interval" totalsRowDxfId="711">
      <calculatedColumnFormula>t_B2n5_AB3[[#This Row],[Offset]]-AM4</calculatedColumnFormula>
    </tableColumn>
  </tableColumns>
  <tableStyleInfo name="TableStyleMedium1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47186FDB-7035-4B2B-B82E-FE8EF4B5CE42}" name="t_B2n5_AB4_Interval" displayName="t_B2n5_AB4_Interval" ref="AS4:AS14" headerRowDxfId="710" tableBorderDxfId="709">
  <tableColumns count="1">
    <tableColumn id="1" xr3:uid="{505CF07B-C544-45D4-82B7-044B454451A1}" name="Interval" totalsRowDxfId="708">
      <calculatedColumnFormula>t_B2n5_AB4[[#This Row],[Offset]]-AT4</calculatedColumnFormula>
    </tableColumn>
  </tableColumns>
  <tableStyleInfo name="TableStyleMedium1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80C01332-7F6A-40DA-A662-D2BB7A758D68}" name="t_B2n5_AB1" displayName="t_B2n5_AB1" ref="Z4:AB6" headerRowBorderDxfId="707" tableBorderDxfId="706">
  <autoFilter ref="Z4:AB6" xr:uid="{80C01332-7F6A-40DA-A662-D2BB7A758D68}"/>
  <sortState xmlns:xlrd2="http://schemas.microsoft.com/office/spreadsheetml/2017/richdata2" ref="Z5:AB6">
    <sortCondition ref="Z4:Z6"/>
  </sortState>
  <tableColumns count="3">
    <tableColumn id="1" xr3:uid="{30457AC7-6411-4200-9627-F19BAF03B026}" name="Offset" totalsRowFunction="sum">
      <calculatedColumnFormula>INDEX(t_B2n5_Fixed[Offset],MATCH($A$36,t_B2n5[x],0),1)</calculatedColumnFormula>
    </tableColumn>
    <tableColumn id="2" xr3:uid="{62400F34-5A57-42E8-8FAD-71C20E01D028}" name="X">
      <calculatedColumnFormula>INDEX(t_B2n5_Fixed[Offset],MATCH($A$36,t_B2n5[x],0),1)</calculatedColumnFormula>
    </tableColumn>
    <tableColumn id="3" xr3:uid="{186FE62F-190A-4B93-A7A5-CB9E43EF9902}" name="Sequence" totalsRowFunction="count"/>
  </tableColumns>
  <tableStyleInfo name="TableStyleMedium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1699967-E572-4314-8E5F-4A65E2CA9A13}" name="t_B2n6" displayName="t_B2n6" ref="D4:J69" totalsRowCount="1" headerRowDxfId="705" dataDxfId="704" tableBorderDxfId="703">
  <autoFilter ref="D4:J68" xr:uid="{00000000-0009-0000-0100-00000B000000}"/>
  <sortState xmlns:xlrd2="http://schemas.microsoft.com/office/spreadsheetml/2017/richdata2" ref="D5:J68">
    <sortCondition ref="D4:D68"/>
  </sortState>
  <tableColumns count="7">
    <tableColumn id="1" xr3:uid="{388723E3-7108-43BE-A3BA-EEFE4586A789}" name="x" totalsRowLabel="Total" dataDxfId="702"/>
    <tableColumn id="7" xr3:uid="{9480C975-2636-4730-9920-826C4251A07E}" name="b5" totalsRowFunction="sum" dataDxfId="701">
      <calculatedColumnFormula>MOD(INT(t_B2n6[[#This Row],[x]]/$B$1^INT(RIGHT(t_B2n6[[#Headers],[b5]],1))),$B$1)</calculatedColumnFormula>
    </tableColumn>
    <tableColumn id="8" xr3:uid="{D51A8E71-D057-4C4D-8658-E7E56E9F969B}" name="b4" totalsRowFunction="sum" dataDxfId="700">
      <calculatedColumnFormula>MOD(INT(t_B2n6[[#This Row],[x]]/$B$1^INT(RIGHT(t_B2n6[[#Headers],[b4]],1))),$B$1)</calculatedColumnFormula>
    </tableColumn>
    <tableColumn id="10" xr3:uid="{65538B17-17F3-4216-A955-7941AA2D4363}" name="b3" totalsRowFunction="sum" dataDxfId="699">
      <calculatedColumnFormula>MOD(INT(t_B2n6[[#This Row],[x]]/$B$1^INT(RIGHT(t_B2n6[[#Headers],[b3]],1))),$B$1)</calculatedColumnFormula>
    </tableColumn>
    <tableColumn id="2" xr3:uid="{544FFD63-DF73-4D33-9C06-6F1E82F4FD6F}" name="b2" totalsRowFunction="sum" dataDxfId="698">
      <calculatedColumnFormula>MOD(INT(t_B2n6[[#This Row],[x]]/$B$1^INT(RIGHT(t_B2n6[[#Headers],[b2]],1))),$B$1)</calculatedColumnFormula>
    </tableColumn>
    <tableColumn id="3" xr3:uid="{3B4D8B43-C86B-46B5-901D-52022F5D9F19}" name="b1" totalsRowFunction="sum" dataDxfId="697">
      <calculatedColumnFormula>MOD(INT(t_B2n6[[#This Row],[x]]/$B$1^INT(RIGHT(t_B2n6[[#Headers],[b1]],1))),$B$1)</calculatedColumnFormula>
    </tableColumn>
    <tableColumn id="4" xr3:uid="{60B45077-B2DD-4B5B-9D5E-8ADDF3C4D964}" name="b0" totalsRowFunction="sum" dataDxfId="696">
      <calculatedColumnFormula>MOD(INT(t_B2n6[[#This Row],[x]]/$B$1^INT(RIGHT(t_B2n6[[#Headers],[b0]],1))),$B$1)</calculatedColumnFormula>
    </tableColumn>
  </tableColumns>
  <tableStyleInfo name="TableStyleMedium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44CB3B6-B8E1-431E-B674-4FA01C8BB69C}" name="t_B2n6_Fixed" displayName="t_B2n6_Fixed" ref="A4:C69" totalsRowCount="1" headerRowDxfId="695" dataDxfId="694" tableBorderDxfId="693">
  <tableColumns count="3">
    <tableColumn id="1" xr3:uid="{97C0FA65-CF94-4FB9-B410-AC5CD7DD878F}" name="Row" totalsRowLabel="Total" dataDxfId="692" totalsRowDxfId="691"/>
    <tableColumn id="3" xr3:uid="{4DD9C034-F123-4C32-9F6C-EAF2B3355581}" name="Offset" dataDxfId="690" totalsRowDxfId="689">
      <calculatedColumnFormula>ROUNDUP(t_B2n6_Fixed[[#This Row],[Row]]-$B$3,0)</calculatedColumnFormula>
    </tableColumn>
    <tableColumn id="4" xr3:uid="{E02F04AC-FBAB-48DC-AACD-6CB606855BE7}" name="Interval" totalsRowFunction="sum" dataDxfId="688">
      <calculatedColumnFormula>t_B2n6[[#This Row],[x]]-D4</calculatedColumnFormula>
    </tableColumn>
  </tableColumns>
  <tableStyleInfo name="TableStyleMedium12" showFirstColumn="1"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FBAF79AB-AF2D-47B2-B1F3-32DF447EED50}" name="t_B2n6_AB3" displayName="t_B2n6_AB3" ref="AQ4:AT16" tableBorderDxfId="687">
  <autoFilter ref="AQ4:AT16" xr:uid="{FBAF79AB-AF2D-47B2-B1F3-32DF447EED50}"/>
  <sortState xmlns:xlrd2="http://schemas.microsoft.com/office/spreadsheetml/2017/richdata2" ref="AQ5:AT16">
    <sortCondition ref="AQ4:AQ16"/>
  </sortState>
  <tableColumns count="4">
    <tableColumn id="2" xr3:uid="{1D5C2336-5214-4082-B27F-4A58AF2BE53E}" name="Offset" totalsRowFunction="sum" totalsRowDxfId="686"/>
    <tableColumn id="1" xr3:uid="{8A8513F6-88DC-410E-8512-B367C21EC219}" name="k" totalsRowDxfId="685"/>
    <tableColumn id="4" xr3:uid="{A5CB3079-BB7A-4178-9B6F-FABA5A532D65}" name="X" totalsRowDxfId="684"/>
    <tableColumn id="3" xr3:uid="{DFACA594-715B-43F4-9207-91E19E17423E}" name="Sequence" dataDxfId="683" totalsRowDxfId="682"/>
  </tableColumns>
  <tableStyleInfo name="TableStyleMedium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7EF136E7-2B3B-4651-9F06-1C858477F222}" name="t_B2n6_AB4" displayName="t_B2n6_AB4" ref="AX4:BA16" tableBorderDxfId="681">
  <autoFilter ref="AX4:BA16" xr:uid="{7EF136E7-2B3B-4651-9F06-1C858477F222}"/>
  <sortState xmlns:xlrd2="http://schemas.microsoft.com/office/spreadsheetml/2017/richdata2" ref="AX5:BA16">
    <sortCondition ref="AX4:AX16"/>
  </sortState>
  <tableColumns count="4">
    <tableColumn id="2" xr3:uid="{CB7A361C-0C04-4231-AB7B-237F8AAB9A50}" name="Offset" totalsRowFunction="sum" totalsRowDxfId="680"/>
    <tableColumn id="1" xr3:uid="{0111015E-F2F2-4A38-91FE-B2532440FD72}" name="k" totalsRowDxfId="679"/>
    <tableColumn id="4" xr3:uid="{DCB2FDD2-B20F-4403-BCEC-2867E588F3F3}" name="X" totalsRowDxfId="678"/>
    <tableColumn id="3" xr3:uid="{23C5314B-4E4E-4915-9B34-A4180CF19F1F}" name="Sequence" dataDxfId="677" totalsRowDxfId="676"/>
  </tableColumns>
  <tableStyleInfo name="TableStyleMedium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81931228-6E38-4077-9CF6-8DCE81EDB58E}" name="t_B2n6_AB5" displayName="t_B2n6_AB5" ref="BE4:BH16" tableBorderDxfId="675">
  <autoFilter ref="BE4:BH16" xr:uid="{81931228-6E38-4077-9CF6-8DCE81EDB58E}"/>
  <sortState xmlns:xlrd2="http://schemas.microsoft.com/office/spreadsheetml/2017/richdata2" ref="BE5:BH16">
    <sortCondition ref="BE4:BE16"/>
  </sortState>
  <tableColumns count="4">
    <tableColumn id="2" xr3:uid="{F876DCB9-3CB7-4934-85A1-45410274A4B5}" name="Offset" totalsRowFunction="sum" totalsRowDxfId="674"/>
    <tableColumn id="1" xr3:uid="{E736DAB6-A226-4B5C-AC1B-59AB70030E9E}" name="k" totalsRowDxfId="673"/>
    <tableColumn id="4" xr3:uid="{0171AEE1-D047-4B5F-A7C8-341386A83914}" name="X" totalsRowDxfId="672"/>
    <tableColumn id="3" xr3:uid="{3909764F-6E43-4F20-8BCF-3B6A28C7D291}" name="Sequence" dataDxfId="671" totalsRowDxfId="670"/>
  </tableColumns>
  <tableStyleInfo name="TableStyleMedium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77D2102E-F277-4FCE-9A0B-C780AF35CA73}" name="t_B2n6_AB6" displayName="t_B2n6_AB6" ref="BL4:BO16" tableBorderDxfId="669">
  <autoFilter ref="BL4:BO16" xr:uid="{77D2102E-F277-4FCE-9A0B-C780AF35CA73}"/>
  <sortState xmlns:xlrd2="http://schemas.microsoft.com/office/spreadsheetml/2017/richdata2" ref="BL5:BO16">
    <sortCondition ref="BL4:BL16"/>
  </sortState>
  <tableColumns count="4">
    <tableColumn id="2" xr3:uid="{F01B8660-F338-49AD-80A6-AE938909E53D}" name="Offset" totalsRowFunction="sum" totalsRowDxfId="668"/>
    <tableColumn id="1" xr3:uid="{4780812B-A1CA-4660-8F85-4D61951DD8ED}" name="k" totalsRowDxfId="667"/>
    <tableColumn id="4" xr3:uid="{1929FD6F-5841-42E4-B00A-57DD5BA54D92}" name="X" totalsRowDxfId="666"/>
    <tableColumn id="3" xr3:uid="{432A1F61-913D-4A6B-B962-9F1494CBD8B8}" name="Sequence" dataDxfId="665" totalsRowDxfId="664"/>
  </tableColumns>
  <tableStyleInfo name="TableStyleMedium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AE0CF7C7-F6D5-42E6-AD0B-4B99316D2FAE}" name="t_B2n6_AB1_Interval" displayName="t_B2n6_AB1_Interval" ref="AC4:AC6" headerRowDxfId="663" tableBorderDxfId="662">
  <tableColumns count="1">
    <tableColumn id="1" xr3:uid="{B209BCB6-8A32-4AD8-AFC0-9BBE142356D5}" name="Interval" totalsRowDxfId="661">
      <calculatedColumnFormula>B2n6!$AE5-AE4</calculatedColumnFormula>
    </tableColumn>
  </tableColumns>
  <tableStyleInfo name="TableStyleMedium1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4" xr:uid="{5162325A-CD1F-4D5C-8CCA-0F729F696D4E}" name="t_B2n6_AB2_Interval" displayName="t_B2n6_AB2_Interval" ref="AI4:AI10" headerRowDxfId="660" tableBorderDxfId="659">
  <tableColumns count="1">
    <tableColumn id="1" xr3:uid="{F629CC7B-689B-4926-92F2-F1D4F17D5638}" name="Interval" totalsRowDxfId="658">
      <calculatedColumnFormula>B2n6!$AK9-AK4</calculatedColumnFormula>
    </tableColumn>
  </tableColumns>
  <tableStyleInfo name="TableStyleMedium1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5" xr:uid="{3DA2602C-365E-4E79-896C-113590F69E24}" name="t_B2n6_AB3_Interval" displayName="t_B2n6_AB3_Interval" ref="AP4:AP16" headerRowDxfId="657" tableBorderDxfId="656">
  <tableColumns count="1">
    <tableColumn id="1" xr3:uid="{C5F69C98-580B-4114-A325-AF05F2DF0840}" name="Interval" totalsRowDxfId="655">
      <calculatedColumnFormula>t_B2n6_AB3[[#This Row],[Offset]]-AQ4</calculatedColumnFormula>
    </tableColumn>
  </tableColumns>
  <tableStyleInfo name="TableStyleMedium1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6" xr:uid="{FC41FFFF-1196-4FDF-A8F2-FC2F1B475E4C}" name="t_B2n6_AB4_Interval" displayName="t_B2n6_AB4_Interval" ref="AW4:AW16" headerRowDxfId="654" tableBorderDxfId="653">
  <tableColumns count="1">
    <tableColumn id="1" xr3:uid="{7230F87C-C2D0-49AE-918F-8123FC31063A}" name="Interval" totalsRowDxfId="652">
      <calculatedColumnFormula>t_B2n6_AB4[[#This Row],[Offset]]-AX4</calculatedColumnFormula>
    </tableColumn>
  </tableColumns>
  <tableStyleInfo name="TableStyleMedium1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7" xr:uid="{9FF8B5D7-15AA-40A9-8653-E33B8564CA4E}" name="t_B2n6_AB5_Interval" displayName="t_B2n6_AB5_Interval" ref="BD4:BD16" headerRowDxfId="651" tableBorderDxfId="650">
  <tableColumns count="1">
    <tableColumn id="1" xr3:uid="{B9229D0A-02E9-4A48-9870-F6633F22CBEF}" name="Interval" totalsRowDxfId="649">
      <calculatedColumnFormula>t_B2n6_AB5[[#This Row],[Offset]]-BE4</calculatedColumnFormula>
    </tableColumn>
  </tableColumns>
  <tableStyleInfo name="TableStyleMedium1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8" xr:uid="{44B84B34-BBA6-4389-B80A-0405657BB445}" name="t_B2n6_AB6_Interval" displayName="t_B2n6_AB6_Interval" ref="BK4:BK16" headerRowDxfId="648" tableBorderDxfId="647">
  <tableColumns count="1">
    <tableColumn id="1" xr3:uid="{B02D5278-78CB-47FC-81DA-AE5E58F4EA08}" name="Interval" totalsRowDxfId="646">
      <calculatedColumnFormula>t_B2n6_AB6[[#This Row],[Offset]]-BL4</calculatedColumnFormula>
    </tableColumn>
  </tableColumns>
  <tableStyleInfo name="TableStyleMedium1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9" xr:uid="{20CB5D0E-F716-4F8F-AA3D-0620231E4883}" name="t_B2n6_S1_Interval" displayName="t_B2n6_S1_Interval" ref="BR4:BR6" headerRowDxfId="645" tableBorderDxfId="644">
  <tableColumns count="1">
    <tableColumn id="1" xr3:uid="{740841BD-605B-44C5-9E6E-1E631A56F380}" name="Interval" totalsRowDxfId="643">
      <calculatedColumnFormula>B2n6!$BT6-BT4</calculatedColumnFormula>
    </tableColumn>
  </tableColumns>
  <tableStyleInfo name="TableStyleMedium1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0" xr:uid="{708689DC-5FD0-4D29-96C6-EABDA48F8725}" name="t_B2n6_S2_Interval" displayName="t_B2n6_S2_Interval" ref="BX4:BX10" headerRowDxfId="642" tableBorderDxfId="641">
  <autoFilter ref="BX4:BX10" xr:uid="{708689DC-5FD0-4D29-96C6-EABDA48F8725}"/>
  <tableColumns count="1">
    <tableColumn id="1" xr3:uid="{C108E31C-E051-47A8-B9C1-BA90234E0C4B}" name="Interval" totalsRowDxfId="640">
      <calculatedColumnFormula>B2n6!$BZ7-BZ4</calculatedColumnFormula>
    </tableColumn>
  </tableColumns>
  <tableStyleInfo name="TableStyleMedium1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9E10F12-DAF6-460A-BE67-778BE3EDA265}" name="t_B2n6_AB1" displayName="t_B2n6_AB1" ref="AD4:AF6" tableBorderDxfId="639">
  <autoFilter ref="AD4:AF6" xr:uid="{39E10F12-DAF6-460A-BE67-778BE3EDA265}"/>
  <sortState xmlns:xlrd2="http://schemas.microsoft.com/office/spreadsheetml/2017/richdata2" ref="AD5:AF6">
    <sortCondition ref="AD4:AD6"/>
  </sortState>
  <tableColumns count="3">
    <tableColumn id="1" xr3:uid="{FDE7079D-29FE-45E3-A6D8-79405B8E23B5}" name="Offset" totalsRowFunction="sum">
      <calculatedColumnFormula>INDEX(t_B2n6_Fixed[Offset],MATCH($A$68,t_B2n6[x],0),1)</calculatedColumnFormula>
    </tableColumn>
    <tableColumn id="2" xr3:uid="{73E93BF4-AB9B-460F-B7C0-72BF9989E7F6}" name="X"/>
    <tableColumn id="3" xr3:uid="{6071E7CD-E532-4E74-B6B9-32D3CB3B00ED}" name="Sequence" totalsRowFunction="count"/>
  </tableColumns>
  <tableStyleInfo name="TableStyleMedium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A08E007-6C6E-4C94-B194-BF47637B0B6E}" name="t_B2n6_AB2" displayName="t_B2n6_AB2" ref="AJ4:AM10" headerRowBorderDxfId="638" tableBorderDxfId="637">
  <autoFilter ref="AJ4:AM10" xr:uid="{EA08E007-6C6E-4C94-B194-BF47637B0B6E}"/>
  <sortState xmlns:xlrd2="http://schemas.microsoft.com/office/spreadsheetml/2017/richdata2" ref="AJ5:AM10">
    <sortCondition ref="AJ4:AJ10"/>
  </sortState>
  <tableColumns count="4">
    <tableColumn id="1" xr3:uid="{E0C0304D-537B-4A62-A6F2-7BD92F20A1AD}" name="Offset" totalsRowFunction="sum"/>
    <tableColumn id="2" xr3:uid="{F8C0B7C3-0E24-4076-A7E7-0C04CE82FD25}" name="k"/>
    <tableColumn id="4" xr3:uid="{707104D6-EEE9-45EE-BEC9-D80BB5FDBA28}" name="X" dataDxfId="636"/>
    <tableColumn id="3" xr3:uid="{56AAE8CE-B21E-4210-9425-399DF940E55D}" name="Sequence"/>
  </tableColumns>
  <tableStyleInfo name="TableStyleMedium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5AA13DC-7549-4501-9A8C-F86E54A06B1A}" name="t_B2n6_S1" displayName="t_B2n6_S1" ref="BS4:BU6" headerRowBorderDxfId="635" tableBorderDxfId="634">
  <autoFilter ref="BS4:BU6" xr:uid="{75AA13DC-7549-4501-9A8C-F86E54A06B1A}"/>
  <sortState xmlns:xlrd2="http://schemas.microsoft.com/office/spreadsheetml/2017/richdata2" ref="BS5:BU6">
    <sortCondition ref="BS4:BS6"/>
  </sortState>
  <tableColumns count="3">
    <tableColumn id="1" xr3:uid="{6B55E27D-2266-4E99-931E-A06E3E7AE1CC}" name="Offset" totalsRowFunction="sum">
      <calculatedColumnFormula>INDEX(t_B2n6_Fixed[Offset],MATCH($A$47,t_B2n6[x],0),1)</calculatedColumnFormula>
    </tableColumn>
    <tableColumn id="2" xr3:uid="{08F202A0-4889-476F-BA33-0A2DBD4B9559}" name="k"/>
    <tableColumn id="3" xr3:uid="{B03BA596-C490-4E57-BBC5-B56D9856A01E}" name="Sequence" dataDxfId="633" totalsRowDxfId="632"/>
  </tableColumns>
  <tableStyleInfo name="TableStyleMedium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6B1E298-D621-457E-905F-613E58FBA1D2}" name="t_B2n6_S2" displayName="t_B2n6_S2" ref="BY4:CA10" headerRowBorderDxfId="631" tableBorderDxfId="630">
  <autoFilter ref="BY4:CA10" xr:uid="{36B1E298-D621-457E-905F-613E58FBA1D2}"/>
  <sortState xmlns:xlrd2="http://schemas.microsoft.com/office/spreadsheetml/2017/richdata2" ref="BY5:CA10">
    <sortCondition ref="BY4:BY10"/>
  </sortState>
  <tableColumns count="3">
    <tableColumn id="1" xr3:uid="{DE97FACD-AE23-4B98-AF12-374F9E6BFABA}" name="Offset" totalsRowFunction="sum"/>
    <tableColumn id="2" xr3:uid="{FC0C46BD-4B62-4D10-B654-631B064EE8D1}" name="k"/>
    <tableColumn id="3" xr3:uid="{B883F0E1-117E-496A-B24B-E9A419E1754C}" name="Sequence" dataDxfId="629" totalsRowDxfId="628"/>
  </tableColumns>
  <tableStyleInfo name="TableStyleMedium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CADD8A-5F55-4273-8DAE-A0E907F9B3F3}" name="t_B3n2" displayName="t_B3n2" ref="D4:F14" totalsRowCount="1" headerRowDxfId="627" tableBorderDxfId="626">
  <autoFilter ref="D4:F13" xr:uid="{00000000-0009-0000-0100-000002000000}"/>
  <sortState xmlns:xlrd2="http://schemas.microsoft.com/office/spreadsheetml/2017/richdata2" ref="D5:F13">
    <sortCondition ref="D4:D13"/>
  </sortState>
  <tableColumns count="3">
    <tableColumn id="1" xr3:uid="{E42BFC8C-E3FE-4F62-B06B-AB33E8BA3985}" name="x" totalsRowLabel="Total"/>
    <tableColumn id="3" xr3:uid="{ABF20CE1-051A-4172-85D9-B28FD34B7D07}" name="b1" totalsRowFunction="sum">
      <calculatedColumnFormula>MOD(INT(t_B3n2[[#This Row],[x]]/$B$1^INT(RIGHT(t_B3n2[[#Headers],[b1]],1))),$B$1)</calculatedColumnFormula>
    </tableColumn>
    <tableColumn id="4" xr3:uid="{0A9BFDB4-AC96-4330-8A16-20DE06D54BEC}" name="b0" totalsRowFunction="sum" dataDxfId="625">
      <calculatedColumnFormula>MOD(INT(t_B3n2[[#This Row],[x]]/$B$1^INT(RIGHT(t_B3n2[[#Headers],[b0]],1))),$B$1)</calculatedColumnFormula>
    </tableColumn>
  </tableColumns>
  <tableStyleInfo name="TableStyleMedium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B086317-A4F9-472C-8D3B-3732E18DE71B}" name="t_B3n2_Fixed" displayName="t_B3n2_Fixed" ref="A4:C14" totalsRowCount="1" headerRowDxfId="624" tableBorderDxfId="623">
  <tableColumns count="3">
    <tableColumn id="1" xr3:uid="{8A466114-0D3E-4428-94FF-9A4855F60D14}" name="Row" totalsRowLabel="Total" totalsRowDxfId="622"/>
    <tableColumn id="3" xr3:uid="{7684D934-DBE2-474B-A0EB-18CEEBBBC4D1}" name="Offset" dataDxfId="621" totalsRowDxfId="620">
      <calculatedColumnFormula>ROUNDUP(t_B3n2_Fixed[[#This Row],[Row]]-$B$3,0)</calculatedColumnFormula>
    </tableColumn>
    <tableColumn id="4" xr3:uid="{9C59B074-5F9B-4CB0-A3FD-ABFF2CB3754D}" name="Interval" totalsRowFunction="sum" dataDxfId="619">
      <calculatedColumnFormula>t_B3n2[[#This Row],[x]]-D4</calculatedColumnFormula>
    </tableColumn>
  </tableColumns>
  <tableStyleInfo name="TableStyleMedium12" showFirstColumn="1"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56828F83-5BC2-43A8-99F7-6D63356328DB}" name="t_B3n2_AB2" displayName="t_B3n2_AB2" ref="W4:Y8" tableBorderDxfId="618">
  <autoFilter ref="W4:Y8" xr:uid="{56828F83-5BC2-43A8-99F7-6D63356328DB}"/>
  <sortState xmlns:xlrd2="http://schemas.microsoft.com/office/spreadsheetml/2017/richdata2" ref="W5:Y8">
    <sortCondition ref="W4:W8"/>
  </sortState>
  <tableColumns count="3">
    <tableColumn id="2" xr3:uid="{A2C13704-8D15-491B-B85B-66ED1DABB12E}" name="Offset" totalsRowFunction="sum" totalsRowDxfId="617"/>
    <tableColumn id="1" xr3:uid="{52141FFF-1C43-4B3A-9553-EC5F90DF4E16}" name="X" totalsRowDxfId="616"/>
    <tableColumn id="3" xr3:uid="{44188A4A-DA9A-4FF1-B2B2-040309EB7983}" name="Sequence" totalsRowDxfId="615"/>
  </tableColumns>
  <tableStyleInfo name="TableStyleMedium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A6835636-5C02-455B-92AB-23CC22E19E1D}" name="t_B3n2_S1" displayName="t_B3n2_S1" ref="AC4:AE6" tableBorderDxfId="614">
  <autoFilter ref="AC4:AE6" xr:uid="{A6835636-5C02-455B-92AB-23CC22E19E1D}"/>
  <sortState xmlns:xlrd2="http://schemas.microsoft.com/office/spreadsheetml/2017/richdata2" ref="AC5:AE6">
    <sortCondition ref="AC4:AC6"/>
  </sortState>
  <tableColumns count="3">
    <tableColumn id="2" xr3:uid="{4724ADF6-0BFB-48D0-ACE4-C94B91AA1A0D}" name="Offset" totalsRowFunction="sum" totalsRowDxfId="613">
      <calculatedColumnFormula>INDEX(t_B3n2_Fixed[Offset],MATCH($A$11,t_B3n2[x],0),1)</calculatedColumnFormula>
    </tableColumn>
    <tableColumn id="1" xr3:uid="{A107D1EE-4D9D-4D46-B5CF-FB3EDA499F06}" name="X" totalsRowDxfId="612"/>
    <tableColumn id="3" xr3:uid="{5BE7A74E-DBB5-48F5-AFE9-04EF200034C2}" name="Sequence" dataDxfId="611" totalsRowDxfId="610"/>
  </tableColumns>
  <tableStyleInfo name="TableStyleMedium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1" xr:uid="{34A80190-2A5F-4087-9D0C-15C756317D49}" name="t_B3n2_AB1_Interval" displayName="t_B3n2_AB1_Interval" ref="P4:P6" headerRowDxfId="609" tableBorderDxfId="608">
  <tableColumns count="1">
    <tableColumn id="1" xr3:uid="{E2FA82CD-876D-46E8-AFFF-556E296F2DC0}" name="Interval" totalsRowDxfId="607">
      <calculatedColumnFormula>B3n2!$R5-R4</calculatedColumnFormula>
    </tableColumn>
  </tableColumns>
  <tableStyleInfo name="TableStyleMedium1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2" xr:uid="{8B84DC15-DE01-4B57-BDB1-8EA414163EBE}" name="t_B3n2_AB2_Interval" displayName="t_B3n2_AB2_Interval" ref="V4:V8" headerRowDxfId="606" tableBorderDxfId="605">
  <tableColumns count="1">
    <tableColumn id="1" xr3:uid="{32A6CC7E-1C2D-46CD-9692-228260E63D09}" name="Interval" totalsRowDxfId="604">
      <calculatedColumnFormula>t_B3n2_AB2[[#This Row],[Offset]]-W4</calculatedColumnFormula>
    </tableColumn>
  </tableColumns>
  <tableStyleInfo name="TableStyleMedium1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3" xr:uid="{E6D066E5-B961-4799-825C-77BF3D1F0A4E}" name="t_B3n2_S1_Interval" displayName="t_B3n2_S1_Interval" ref="AB4:AB6" headerRowDxfId="603" tableBorderDxfId="602">
  <tableColumns count="1">
    <tableColumn id="1" xr3:uid="{6D73DD72-A9F8-4AB1-9E08-593380A5CFEF}" name="Interval" totalsRowDxfId="601">
      <calculatedColumnFormula>t_B3n2_S1[[#This Row],[Offset]]-AC4</calculatedColumnFormula>
    </tableColumn>
  </tableColumns>
  <tableStyleInfo name="TableStyleMedium1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8D0C574-E8D6-4DAF-A6D4-8E5B7CAB74C1}" name="t_B3n2_AB1" displayName="t_B3n2_AB1" ref="Q4:S6" headerRowBorderDxfId="600" tableBorderDxfId="599">
  <autoFilter ref="Q4:S6" xr:uid="{68D0C574-E8D6-4DAF-A6D4-8E5B7CAB74C1}"/>
  <sortState xmlns:xlrd2="http://schemas.microsoft.com/office/spreadsheetml/2017/richdata2" ref="Q5:S6">
    <sortCondition ref="Q4:Q6"/>
  </sortState>
  <tableColumns count="3">
    <tableColumn id="1" xr3:uid="{5B4C6A75-C5EF-4427-AB01-D29AC2D838AF}" name="Offset" totalsRowFunction="sum">
      <calculatedColumnFormula>INDEX(t_B3n2_Fixed[Offset],MATCH($A$13,t_B3n2[x],0),1)</calculatedColumnFormula>
    </tableColumn>
    <tableColumn id="2" xr3:uid="{49315FDF-24E4-4077-B908-D0E420BA19A3}" name="X"/>
    <tableColumn id="3" xr3:uid="{A6C68B18-7CB9-46E8-B75A-FDC249A2C169}" name="Sequence"/>
  </tableColumns>
  <tableStyleInfo name="TableStyleMedium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t_B3n3" displayName="t_B3n3" ref="D4:H32" totalsRowCount="1" headerRowDxfId="598" tableBorderDxfId="597">
  <autoFilter ref="D4:H31" xr:uid="{00000000-0009-0000-0100-000002000000}"/>
  <sortState xmlns:xlrd2="http://schemas.microsoft.com/office/spreadsheetml/2017/richdata2" ref="D5:H31">
    <sortCondition ref="D4:D31"/>
  </sortState>
  <tableColumns count="5">
    <tableColumn id="1" xr3:uid="{00000000-0010-0000-0800-000001000000}" name="x" totalsRowLabel="Total"/>
    <tableColumn id="2" xr3:uid="{00000000-0010-0000-0800-000002000000}" name="b2" totalsRowFunction="sum">
      <calculatedColumnFormula>MOD(INT(t_B3n3[[#This Row],[x]]/$B$1^INT(RIGHT(t_B3n3[[#Headers],[b2]],1))),$B$1)</calculatedColumnFormula>
    </tableColumn>
    <tableColumn id="3" xr3:uid="{00000000-0010-0000-0800-000003000000}" name="b1" totalsRowFunction="sum">
      <calculatedColumnFormula>MOD(INT(t_B3n3[[#This Row],[x]]/$B$1^INT(RIGHT(t_B3n3[[#Headers],[b1]],1))),$B$1)</calculatedColumnFormula>
    </tableColumn>
    <tableColumn id="4" xr3:uid="{00000000-0010-0000-0800-000004000000}" name="b0" totalsRowFunction="sum" dataDxfId="596">
      <calculatedColumnFormula>MOD(INT(t_B3n3[[#This Row],[x]]/$B$1^INT(RIGHT(t_B3n3[[#Headers],[b0]],1))),$B$1)</calculatedColumnFormula>
    </tableColumn>
    <tableColumn id="5" xr3:uid="{00000000-0010-0000-0800-000005000000}" name="Permutation_x000a_" dataDxfId="595">
      <calculatedColumnFormula array="1">IF(SUM(IF(COUNTIF(t_B3n3[[#This Row],[b2]:[b0]],t_B3n3[[#This Row],[b2]:[b0]])=1,1,0))=$B$1,"←Perm","")</calculatedColumnFormula>
    </tableColumn>
  </tableColumns>
  <tableStyleInfo name="TableStyleMedium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9000000}" name="t_B3n3_Fixed" displayName="t_B3n3_Fixed" ref="A4:C32" totalsRowCount="1" headerRowDxfId="594" tableBorderDxfId="593">
  <tableColumns count="3">
    <tableColumn id="1" xr3:uid="{00000000-0010-0000-0900-000001000000}" name="Row" totalsRowLabel="Total" totalsRowDxfId="592"/>
    <tableColumn id="3" xr3:uid="{23C80B8B-04B6-4ADE-9777-19798EF9600D}" name="Offset" dataDxfId="591" totalsRowDxfId="590">
      <calculatedColumnFormula>ROUNDUP(t_B3n3_Fixed[[#This Row],[Row]]-$B$3,0)</calculatedColumnFormula>
    </tableColumn>
    <tableColumn id="4" xr3:uid="{45026091-3634-48F5-9804-0EF67EA678F0}" name="Interval" totalsRowFunction="sum" dataDxfId="589">
      <calculatedColumnFormula>t_B3n3[[#This Row],[x]]-D4</calculatedColumnFormula>
    </tableColumn>
  </tableColumns>
  <tableStyleInfo name="TableStyleMedium12" showFirstColumn="1"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D833018E-5A06-4616-8E7A-B52C549445B9}" name="t_B3n3_AB2" displayName="t_B3n3_AB2" ref="AG4:AI10" tableBorderDxfId="588">
  <autoFilter ref="AG4:AI10" xr:uid="{D833018E-5A06-4616-8E7A-B52C549445B9}"/>
  <sortState xmlns:xlrd2="http://schemas.microsoft.com/office/spreadsheetml/2017/richdata2" ref="AG5:AI10">
    <sortCondition ref="AG4:AG10"/>
  </sortState>
  <tableColumns count="3">
    <tableColumn id="2" xr3:uid="{58F23C7F-6DE2-4099-8545-2ADFDD64AFD1}" name="Offset" totalsRowFunction="sum" totalsRowDxfId="587"/>
    <tableColumn id="1" xr3:uid="{C69BF09A-32EC-428A-8AA5-0B427E908C72}" name="X" totalsRowDxfId="586"/>
    <tableColumn id="3" xr3:uid="{F7F3E651-DAD2-48A5-84B4-5AA9712A6F06}" name="Sequence" dataDxfId="585" totalsRowDxfId="584"/>
  </tableColumns>
  <tableStyleInfo name="TableStyleMedium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C5D6F76-6798-4E78-A62F-266D59CAB5E3}" name="t_B3n3_AB3" displayName="t_B3n3_AB3" ref="AM4:AP10" tableBorderDxfId="583">
  <autoFilter ref="AM4:AP10" xr:uid="{7C5D6F76-6798-4E78-A62F-266D59CAB5E3}"/>
  <sortState xmlns:xlrd2="http://schemas.microsoft.com/office/spreadsheetml/2017/richdata2" ref="AM5:AP10">
    <sortCondition ref="AM4:AM10"/>
  </sortState>
  <tableColumns count="4">
    <tableColumn id="2" xr3:uid="{2406CCDD-E421-4A17-BFE7-3A555BFAB9CB}" name="Offset" totalsRowFunction="sum" totalsRowDxfId="582"/>
    <tableColumn id="1" xr3:uid="{1BC79838-555E-4AB1-B12B-4DDB76CFA1B5}" name="k" totalsRowDxfId="581"/>
    <tableColumn id="4" xr3:uid="{4248BC4A-B715-4FBC-8514-D5AFD9AC0F21}" name="X" totalsRowDxfId="580"/>
    <tableColumn id="3" xr3:uid="{7D3CEAD4-1FAA-478D-9015-FD88BDE0EADB}" name="Sequence" dataDxfId="579" totalsRowDxfId="578"/>
  </tableColumns>
  <tableStyleInfo name="TableStyleMedium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92B23BFC-3E85-4BC6-9769-B01F2E8F5534}" name="t_B3n3_AB4" displayName="t_B3n3_AB4" ref="AT4:AV10" tableBorderDxfId="577">
  <autoFilter ref="AT4:AV10" xr:uid="{92B23BFC-3E85-4BC6-9769-B01F2E8F5534}"/>
  <sortState xmlns:xlrd2="http://schemas.microsoft.com/office/spreadsheetml/2017/richdata2" ref="AT5:AV10">
    <sortCondition ref="AT4:AT10"/>
  </sortState>
  <tableColumns count="3">
    <tableColumn id="2" xr3:uid="{F76443EB-6FB4-451C-840B-42726DBDCA87}" name="Offset" totalsRowFunction="sum" totalsRowDxfId="576"/>
    <tableColumn id="1" xr3:uid="{805C4679-3E32-4A53-893B-723646E543C0}" name="X" totalsRowDxfId="575"/>
    <tableColumn id="3" xr3:uid="{808FCABF-7A0E-4E18-B2F7-A9D1EEB320E9}" name="Sequence" dataDxfId="574" totalsRowDxfId="573"/>
  </tableColumns>
  <tableStyleInfo name="TableStyleMedium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FE6179-8E9B-4CBF-B7B5-2244D032F7DB}" name="t_B3n3_AB5" displayName="t_B3n3_AB5" ref="AZ4:BC10" tableBorderDxfId="572">
  <autoFilter ref="AZ4:BC10" xr:uid="{00FE6179-8E9B-4CBF-B7B5-2244D032F7DB}"/>
  <sortState xmlns:xlrd2="http://schemas.microsoft.com/office/spreadsheetml/2017/richdata2" ref="AZ5:BC10">
    <sortCondition ref="AZ4:AZ10"/>
  </sortState>
  <tableColumns count="4">
    <tableColumn id="2" xr3:uid="{D1D9961C-92A9-4981-9794-08805D7DAA4C}" name="Offset" totalsRowFunction="sum" totalsRowDxfId="571"/>
    <tableColumn id="1" xr3:uid="{CBD97C9C-C5BE-4BC4-ADE5-4E1300DA2BA9}" name="k" totalsRowDxfId="570"/>
    <tableColumn id="4" xr3:uid="{78B45E91-F828-49BF-AAF3-F31FEEB1894E}" name="X" totalsRowDxfId="569"/>
    <tableColumn id="3" xr3:uid="{1A82C602-A5C0-4635-9459-EB0764569890}" name="Sequence" dataDxfId="568" totalsRowDxfId="567"/>
  </tableColumns>
  <tableStyleInfo name="TableStyleMedium9"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4" xr:uid="{5DB7170B-A5F9-4F0F-BBA3-BB5F20798B58}" name="t_B3n3_AB1_Interval" displayName="t_B3n3_AB1_Interval" ref="Z4:Z6" headerRowDxfId="566" tableBorderDxfId="565">
  <tableColumns count="1">
    <tableColumn id="1" xr3:uid="{8D2A0CF4-F3D7-4F37-99EC-E5D2C1D17F2D}" name="Interval" totalsRowDxfId="564">
      <calculatedColumnFormula>B3n3!$AB6-AB4</calculatedColumnFormula>
    </tableColumn>
  </tableColumns>
  <tableStyleInfo name="TableStyleMedium1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5" xr:uid="{240D6BD6-7CAB-4789-9507-4346C5BED155}" name="t_B3n3_AB2_Interval" displayName="t_B3n3_AB2_Interval" ref="AF4:AF10" headerRowDxfId="563" tableBorderDxfId="562">
  <tableColumns count="1">
    <tableColumn id="1" xr3:uid="{4E577AB1-F964-4553-81D6-D90A4A9E90A9}" name="Interval" totalsRowDxfId="561">
      <calculatedColumnFormula>t_B3n3_AB2[[#This Row],[Offset]]-AG4</calculatedColumnFormula>
    </tableColumn>
  </tableColumns>
  <tableStyleInfo name="TableStyleMedium1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6" xr:uid="{729D963A-FE0F-43C9-8CE5-C6D1738591E7}" name="t_B3n3_AB3_Interval" displayName="t_B3n3_AB3_Interval" ref="AL4:AL10" headerRowDxfId="560" tableBorderDxfId="559">
  <tableColumns count="1">
    <tableColumn id="1" xr3:uid="{B7CBDFAA-A841-400D-9B2F-F3585426DC7D}" name="Interval" totalsRowDxfId="558">
      <calculatedColumnFormula>t_B3n3_AB3[[#This Row],[Offset]]-AM4</calculatedColumnFormula>
    </tableColumn>
  </tableColumns>
  <tableStyleInfo name="TableStyleMedium1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7" xr:uid="{EE2BD256-2ECF-49C8-AA43-7824AA56263E}" name="t_B3n3_AB4_Interval" displayName="t_B3n3_AB4_Interval" ref="AS4:AS10" headerRowDxfId="557" tableBorderDxfId="556">
  <tableColumns count="1">
    <tableColumn id="1" xr3:uid="{8100DBBA-886E-48CD-83F3-E594BA6C57A3}" name="Interval" totalsRowDxfId="555">
      <calculatedColumnFormula>t_B3n3_AB4[[#This Row],[Offset]]-AT4</calculatedColumnFormula>
    </tableColumn>
  </tableColumns>
  <tableStyleInfo name="TableStyleMedium1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8" xr:uid="{D394EA40-14C1-44E8-975E-8C0F5BF8EDDC}" name="t_B3n3_AB5_Interval" displayName="t_B3n3_AB5_Interval" ref="AY4:AY10" headerRowDxfId="554" tableBorderDxfId="553">
  <tableColumns count="1">
    <tableColumn id="1" xr3:uid="{7D9D84C3-DAB8-4FD1-9FB9-01F28C327ED7}" name="Interval" totalsRowDxfId="552">
      <calculatedColumnFormula>t_B3n3_AB5[[#This Row],[Offset]]-AZ4</calculatedColumnFormula>
    </tableColumn>
  </tableColumns>
  <tableStyleInfo name="TableStyleMedium1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C828E23-AF85-46DD-AB75-C5FAACC2CDAE}" name="t_B3n3_AB1" displayName="t_B3n3_AB1" ref="AA4:AC6" headerRowBorderDxfId="551" tableBorderDxfId="550">
  <autoFilter ref="AA4:AC6" xr:uid="{FC828E23-AF85-46DD-AB75-C5FAACC2CDAE}"/>
  <sortState xmlns:xlrd2="http://schemas.microsoft.com/office/spreadsheetml/2017/richdata2" ref="AA5:AC6">
    <sortCondition ref="AA4:AA6"/>
  </sortState>
  <tableColumns count="3">
    <tableColumn id="1" xr3:uid="{3264A0D2-0AD5-4BB7-B1B2-5DA8E61A90E4}" name="Offset" totalsRowFunction="sum">
      <calculatedColumnFormula>INDEX(t_B3n3_Fixed[Offset],MATCH($A$31,t_B3n3[x],0),1)</calculatedColumnFormula>
    </tableColumn>
    <tableColumn id="2" xr3:uid="{A60EA2F6-1217-4D94-B558-BCFA1152A68B}" name="X"/>
    <tableColumn id="3" xr3:uid="{DDE94827-74ED-4839-9E17-7F146F48CB77}" name="Sequence"/>
  </tableColumns>
  <tableStyleInfo name="TableStyleMedium9"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_B3n4" displayName="t_B3n4" ref="D4:H86" totalsRowCount="1" headerRowDxfId="549" tableBorderDxfId="548">
  <autoFilter ref="D4:H85" xr:uid="{00000000-0009-0000-0100-00000F000000}"/>
  <sortState xmlns:xlrd2="http://schemas.microsoft.com/office/spreadsheetml/2017/richdata2" ref="D5:H85">
    <sortCondition ref="D4:D85"/>
  </sortState>
  <tableColumns count="5">
    <tableColumn id="1" xr3:uid="{00000000-0010-0000-0A00-000001000000}" name="x" totalsRowLabel="Total"/>
    <tableColumn id="9" xr3:uid="{00000000-0010-0000-0A00-000009000000}" name="b3" totalsRowFunction="sum" dataDxfId="547">
      <calculatedColumnFormula>MOD(INT(t_B3n4[[#This Row],[x]]/$B$1^INT(RIGHT(t_B3n4[[#Headers],[b3]],1))),$B$1)</calculatedColumnFormula>
    </tableColumn>
    <tableColumn id="2" xr3:uid="{00000000-0010-0000-0A00-000002000000}" name="b2" totalsRowFunction="sum" dataDxfId="546">
      <calculatedColumnFormula>MOD(INT(t_B3n4[[#This Row],[x]]/$B$1^INT(RIGHT(t_B3n4[[#Headers],[b2]],1))),$B$1)</calculatedColumnFormula>
    </tableColumn>
    <tableColumn id="3" xr3:uid="{00000000-0010-0000-0A00-000003000000}" name="b1" totalsRowFunction="sum" dataDxfId="545">
      <calculatedColumnFormula>MOD(INT(t_B3n4[[#This Row],[x]]/$B$1^INT(RIGHT(t_B3n4[[#Headers],[b1]],1))),$B$1)</calculatedColumnFormula>
    </tableColumn>
    <tableColumn id="4" xr3:uid="{00000000-0010-0000-0A00-000004000000}" name="b0" totalsRowFunction="sum" dataDxfId="544">
      <calculatedColumnFormula>MOD(INT(t_B3n4[[#This Row],[x]]/$B$1^INT(RIGHT(t_B3n4[[#Headers],[b0]],1))),$B$1)</calculatedColumnFormula>
    </tableColumn>
  </tableColumns>
  <tableStyleInfo name="TableStyleMedium9"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_B3n4_Fixed" displayName="t_B3n4_Fixed" ref="A4:C86" totalsRowCount="1" headerRowDxfId="543" tableBorderDxfId="542">
  <tableColumns count="3">
    <tableColumn id="1" xr3:uid="{00000000-0010-0000-0B00-000001000000}" name="Row" totalsRowLabel="Total" totalsRowDxfId="541"/>
    <tableColumn id="3" xr3:uid="{89A71C42-3824-4505-947D-29A894216996}" name="Offset" dataDxfId="540" totalsRowDxfId="539">
      <calculatedColumnFormula>ROUNDUP(t_B3n4_Fixed[[#This Row],[Row]]-$B$3,0)</calculatedColumnFormula>
    </tableColumn>
    <tableColumn id="4" xr3:uid="{BDCB9FC5-8243-4867-B278-42E36616EB11}" name="Interval" totalsRowFunction="sum" dataDxfId="538">
      <calculatedColumnFormula>t_B3n4[[#This Row],[x]]-D4</calculatedColumnFormula>
    </tableColumn>
  </tableColumns>
  <tableStyleInfo name="TableStyleMedium12" showFirstColumn="1"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4DB14F2-D070-4B27-ADC8-DDE9EB5B026C}" name="t_B3n4_AB1_Interval" displayName="t_B3n4_AB1_Interval" ref="AL4:AL6" headerRowDxfId="537" tableBorderDxfId="536">
  <tableColumns count="1">
    <tableColumn id="1" xr3:uid="{D6A35BFB-3625-4169-A02E-83AD8ADC38AC}" name="Interval" dataDxfId="535" totalsRowDxfId="534">
      <calculatedColumnFormula>t_B3n4_AB1[[#This Row],[Offset]]-AM4</calculatedColumnFormula>
    </tableColumn>
  </tableColumns>
  <tableStyleInfo name="TableStyleMedium1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CAE7786-A254-4EA7-9A27-E5CF263B0BC0}" name="t_B3n4_AB2_Interval" displayName="t_B3n4_AB2_Interval" ref="AR4:AR8" headerRowDxfId="533" tableBorderDxfId="532">
  <tableColumns count="1">
    <tableColumn id="1" xr3:uid="{BEDCC6D5-18C1-44E8-8735-D46AF6EF3E3F}" name="Interval" totalsRowDxfId="531">
      <calculatedColumnFormula>B3n4!$AT8-AT4</calculatedColumnFormula>
    </tableColumn>
  </tableColumns>
  <tableStyleInfo name="TableStyleMedium1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3F6E9A40-A153-45DA-B97A-E0C3149FD043}" name="t_B3n4_AB3" displayName="t_B3n4_AB3" ref="AY4:BA12" tableBorderDxfId="530">
  <autoFilter ref="AY4:BA12" xr:uid="{3F6E9A40-A153-45DA-B97A-E0C3149FD043}"/>
  <sortState xmlns:xlrd2="http://schemas.microsoft.com/office/spreadsheetml/2017/richdata2" ref="AY5:BA12">
    <sortCondition ref="AY4:AY12"/>
  </sortState>
  <tableColumns count="3">
    <tableColumn id="2" xr3:uid="{B92D9D40-A1A0-4808-8E09-5176169175A1}" name="Offset" totalsRowFunction="sum" totalsRowDxfId="529"/>
    <tableColumn id="1" xr3:uid="{57908C8D-94F0-4C1E-9164-51C9E7F2A279}" name="X" totalsRowDxfId="528"/>
    <tableColumn id="3" xr3:uid="{F72B0BAE-C268-49D4-8EBD-4010014033D3}" name="Sequence" dataDxfId="527" totalsRowDxfId="526"/>
  </tableColumns>
  <tableStyleInfo name="TableStyleMedium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255843CD-4B4A-4E4B-8B2A-000D35D48A84}" name="t_B3n4_AB4" displayName="t_B3n4_AB4" ref="BE4:BH12" tableBorderDxfId="525">
  <autoFilter ref="BE4:BH12" xr:uid="{255843CD-4B4A-4E4B-8B2A-000D35D48A84}"/>
  <sortState xmlns:xlrd2="http://schemas.microsoft.com/office/spreadsheetml/2017/richdata2" ref="BE5:BH12">
    <sortCondition ref="BE4:BE12"/>
  </sortState>
  <tableColumns count="4">
    <tableColumn id="2" xr3:uid="{73BA3AFC-65C8-4A10-8E71-A0C081F57977}" name="Offset" totalsRowFunction="sum" totalsRowDxfId="524"/>
    <tableColumn id="1" xr3:uid="{3F2EBAFD-3D66-49AD-9283-ECEB3FF157B0}" name="k" totalsRowDxfId="523"/>
    <tableColumn id="4" xr3:uid="{C0818CB7-76B5-4FC2-91C7-F956D3D8D872}" name="X" totalsRowDxfId="522"/>
    <tableColumn id="3" xr3:uid="{9D79C4A2-732D-4BA6-963D-371C4FE397C1}" name="Sequence" dataDxfId="521" totalsRowDxfId="520"/>
  </tableColumns>
  <tableStyleInfo name="TableStyleMedium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C37A398-FED1-4D20-B463-6E603826D2A2}" name="t_B3n4_AB5" displayName="t_B3n4_AB5" ref="BL4:BN12" tableBorderDxfId="519">
  <autoFilter ref="BL4:BN12" xr:uid="{7C37A398-FED1-4D20-B463-6E603826D2A2}"/>
  <sortState xmlns:xlrd2="http://schemas.microsoft.com/office/spreadsheetml/2017/richdata2" ref="BL5:BN12">
    <sortCondition ref="BL4:BL12"/>
  </sortState>
  <tableColumns count="3">
    <tableColumn id="2" xr3:uid="{5690863B-6451-44A2-A3EC-1A34FB10EFD4}" name="Offset" totalsRowFunction="sum" totalsRowDxfId="518"/>
    <tableColumn id="1" xr3:uid="{D2D73A86-9F8F-48FB-A96E-B4790509B3F0}" name="X" totalsRowDxfId="517"/>
    <tableColumn id="3" xr3:uid="{6411BE49-A074-4083-92ED-22F1961F8059}" name="Sequence" dataDxfId="516" totalsRowDxfId="515"/>
  </tableColumns>
  <tableStyleInfo name="TableStyleMedium9"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FFCEFFB-DFE9-49DB-8D2F-7B224BDF0970}" name="t_B3n4_AB6" displayName="t_B3n4_AB6" ref="BR4:BU12" tableBorderDxfId="514">
  <autoFilter ref="BR4:BU12" xr:uid="{8FFCEFFB-DFE9-49DB-8D2F-7B224BDF0970}"/>
  <sortState xmlns:xlrd2="http://schemas.microsoft.com/office/spreadsheetml/2017/richdata2" ref="BR5:BU12">
    <sortCondition ref="BR4:BR12"/>
  </sortState>
  <tableColumns count="4">
    <tableColumn id="2" xr3:uid="{0BDAD221-38A5-4304-9F5B-08B360282910}" name="Offset" totalsRowFunction="sum" totalsRowDxfId="513"/>
    <tableColumn id="1" xr3:uid="{A96BB21C-7951-4CE1-B122-0A65A277F868}" name="k" totalsRowDxfId="512"/>
    <tableColumn id="4" xr3:uid="{DF921A12-523B-4601-B40C-18A45687C1F6}" name="X" totalsRowDxfId="511"/>
    <tableColumn id="3" xr3:uid="{28FA324E-E0D3-4662-A89F-EC739428B3B4}" name="Sequence" dataDxfId="510" totalsRowDxfId="509"/>
  </tableColumns>
  <tableStyleInfo name="TableStyleMedium9"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B1C40E0-5649-4F46-B106-C8B70A89FD7F}" name="t_B3n4_AB7" displayName="t_B3n4_AB7" ref="BY4:CB12" tableBorderDxfId="508">
  <autoFilter ref="BY4:CB12" xr:uid="{DB1C40E0-5649-4F46-B106-C8B70A89FD7F}"/>
  <sortState xmlns:xlrd2="http://schemas.microsoft.com/office/spreadsheetml/2017/richdata2" ref="BY5:CB12">
    <sortCondition ref="BY4:BY12"/>
  </sortState>
  <tableColumns count="4">
    <tableColumn id="2" xr3:uid="{517BE959-A43D-4B08-AFB9-BD9611445AA4}" name="Offset" totalsRowFunction="sum" totalsRowDxfId="507"/>
    <tableColumn id="1" xr3:uid="{72C7C28A-E4E2-48AC-85E7-66380C45D3F9}" name="k" totalsRowDxfId="506"/>
    <tableColumn id="4" xr3:uid="{F9093A03-8BE5-4282-B578-7ED3B8940BD3}" name="X" totalsRowDxfId="505"/>
    <tableColumn id="3" xr3:uid="{19B4F6DD-0F8F-4A07-8105-BF0309C3854C}" name="Sequence" dataDxfId="504" totalsRowDxfId="503"/>
  </tableColumns>
  <tableStyleInfo name="TableStyleMedium9"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30EC5E0F-9290-469C-806A-71B663C8C642}" name="t_B3n4_AB8" displayName="t_B3n4_AB8" ref="CF4:CI12" tableBorderDxfId="502">
  <autoFilter ref="CF4:CI12" xr:uid="{30EC5E0F-9290-469C-806A-71B663C8C642}"/>
  <sortState xmlns:xlrd2="http://schemas.microsoft.com/office/spreadsheetml/2017/richdata2" ref="CF5:CI12">
    <sortCondition ref="CF4:CF12"/>
  </sortState>
  <tableColumns count="4">
    <tableColumn id="2" xr3:uid="{FEB6F378-D50A-4592-80C9-D3CB39572A23}" name="Offset" totalsRowFunction="sum" totalsRowDxfId="501"/>
    <tableColumn id="1" xr3:uid="{EC5BC1C7-01AB-4439-934D-1C9C407E01CE}" name="k" totalsRowDxfId="500"/>
    <tableColumn id="4" xr3:uid="{21AE9409-3AAB-4A31-AD67-C1FF756FA1F2}" name="X" totalsRowDxfId="499"/>
    <tableColumn id="3" xr3:uid="{2C02978D-B7A4-4D77-8BAD-83FA7611D33B}" name="Sequence" dataDxfId="498" totalsRowDxfId="497"/>
  </tableColumns>
  <tableStyleInfo name="TableStyleMedium9"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5A4C6155-D924-4046-A181-7DF00EF2A51D}" name="t_B3n4_AB9" displayName="t_B3n4_AB9" ref="CM4:CO12" tableBorderDxfId="496">
  <autoFilter ref="CM4:CO12" xr:uid="{5A4C6155-D924-4046-A181-7DF00EF2A51D}"/>
  <sortState xmlns:xlrd2="http://schemas.microsoft.com/office/spreadsheetml/2017/richdata2" ref="CM5:CO12">
    <sortCondition ref="CM4:CM12"/>
  </sortState>
  <tableColumns count="3">
    <tableColumn id="2" xr3:uid="{F6093A47-973E-4994-ACF8-796FC7EA59EA}" name="Offset" totalsRowFunction="sum" totalsRowDxfId="495"/>
    <tableColumn id="1" xr3:uid="{A53ECF1D-26E1-4070-B7CA-1D4AB665B7C0}" name="X" totalsRowDxfId="494"/>
    <tableColumn id="3" xr3:uid="{953BE2D3-F454-4346-9624-454E16FEED78}" name="Sequence" dataDxfId="493" totalsRowDxfId="492"/>
  </tableColumns>
  <tableStyleInfo name="TableStyleMedium9"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26BC215D-3646-4A4F-93D3-5226E60410A2}" name="t_B3n4_AB10" displayName="t_B3n4_AB10" ref="CS4:CV12" tableBorderDxfId="491">
  <autoFilter ref="CS4:CV12" xr:uid="{26BC215D-3646-4A4F-93D3-5226E60410A2}"/>
  <sortState xmlns:xlrd2="http://schemas.microsoft.com/office/spreadsheetml/2017/richdata2" ref="CS5:CV12">
    <sortCondition ref="CS4:CS12"/>
  </sortState>
  <tableColumns count="4">
    <tableColumn id="2" xr3:uid="{A4ECF3B4-D3F6-4936-93EA-5AE2099EA0B0}" name="Offset" totalsRowFunction="sum" totalsRowDxfId="490"/>
    <tableColumn id="1" xr3:uid="{5148E9A0-5273-4070-A97D-FE41A0BCC307}" name="k" totalsRowDxfId="489"/>
    <tableColumn id="4" xr3:uid="{02F45492-4E6D-4778-8E7C-D546A173C4AB}" name="X" totalsRowDxfId="488"/>
    <tableColumn id="3" xr3:uid="{F2DAD2F0-DBD9-4231-850C-C8BA8CCE01C9}" name="Sequence" dataDxfId="487" totalsRowDxfId="486"/>
  </tableColumns>
  <tableStyleInfo name="TableStyleMedium9"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192DE16A-5A17-4057-877C-9544AA251C1C}" name="t_B3n4_S2" displayName="t_B3n4_S2" ref="DF4:DH8" tableBorderDxfId="485">
  <autoFilter ref="DF4:DH8" xr:uid="{192DE16A-5A17-4057-877C-9544AA251C1C}"/>
  <sortState xmlns:xlrd2="http://schemas.microsoft.com/office/spreadsheetml/2017/richdata2" ref="DF5:DH8">
    <sortCondition ref="DF4:DF8"/>
  </sortState>
  <tableColumns count="3">
    <tableColumn id="2" xr3:uid="{8C7ED8B0-5E56-4287-954A-32ABCA4B911E}" name="Offset" totalsRowFunction="sum" totalsRowDxfId="484"/>
    <tableColumn id="1" xr3:uid="{31B9BDCA-D06C-477D-A0DB-B76E14FBD08A}" name="X" totalsRowDxfId="483"/>
    <tableColumn id="3" xr3:uid="{F6FEB8B7-9C36-4787-B061-10251792490A}" name="Sequence" dataDxfId="482" totalsRowDxfId="481"/>
  </tableColumns>
  <tableStyleInfo name="TableStyleMedium9"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4A1DADAC-8D00-4CFB-817D-D2684CE1A7EB}" name="t_B3n4_S3" displayName="t_B3n4_S3" ref="DL4:DN8" tableBorderDxfId="480">
  <autoFilter ref="DL4:DN8" xr:uid="{4A1DADAC-8D00-4CFB-817D-D2684CE1A7EB}"/>
  <sortState xmlns:xlrd2="http://schemas.microsoft.com/office/spreadsheetml/2017/richdata2" ref="DL5:DN8">
    <sortCondition ref="DL4:DL8"/>
  </sortState>
  <tableColumns count="3">
    <tableColumn id="2" xr3:uid="{B5D8E751-717A-41E8-81A1-F4BEA29BF1B5}" name="Offset" totalsRowFunction="sum" totalsRowDxfId="479"/>
    <tableColumn id="1" xr3:uid="{C89F4AF5-D8A4-4E69-982D-26227FAD9E01}" name="X" totalsRowDxfId="478"/>
    <tableColumn id="3" xr3:uid="{97060B04-5B57-4267-B4C4-59EC7D3BEC69}" name="Sequence" dataDxfId="477" totalsRowDxfId="476"/>
  </tableColumns>
  <tableStyleInfo name="TableStyleMedium9"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9" xr:uid="{2C331042-61C4-4FD7-A383-80E24686E296}" name="t_B3n4_AB3_Interval" displayName="t_B3n4_AB3_Interval" ref="AX4:AX12" headerRowDxfId="475" tableBorderDxfId="474">
  <tableColumns count="1">
    <tableColumn id="1" xr3:uid="{E660C892-DE1D-4D67-8B93-DD90862EE97E}" name="Interval" totalsRowDxfId="473">
      <calculatedColumnFormula>t_B3n4_AB3[[#This Row],[Offset]]-AY4</calculatedColumnFormula>
    </tableColumn>
  </tableColumns>
  <tableStyleInfo name="TableStyleMedium1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 xr:uid="{B785F7CB-DC03-46CF-83EF-74EB9BD6B765}" name="t_B3n4_AB4_Interval" displayName="t_B3n4_AB4_Interval" ref="BD4:BD12" headerRowDxfId="472" tableBorderDxfId="471">
  <tableColumns count="1">
    <tableColumn id="1" xr3:uid="{DAD188C2-4CBE-4826-8E2C-4B823B138865}" name="Interval" totalsRowDxfId="470">
      <calculatedColumnFormula>t_B3n4_AB4[[#This Row],[Offset]]-BE4</calculatedColumnFormula>
    </tableColumn>
  </tableColumns>
  <tableStyleInfo name="TableStyleMedium1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1" xr:uid="{72CD2373-E0DE-4AD5-8E23-2703F1187723}" name="t_B3n4_AB5_Interval" displayName="t_B3n4_AB5_Interval" ref="BK4:BK12" headerRowDxfId="469" tableBorderDxfId="468">
  <tableColumns count="1">
    <tableColumn id="1" xr3:uid="{500CD766-FC8B-430C-B2BC-63C6511D3922}" name="Interval" totalsRowDxfId="467">
      <calculatedColumnFormula>t_B3n4_AB5[[#This Row],[Offset]]-BL4</calculatedColumnFormula>
    </tableColumn>
  </tableColumns>
  <tableStyleInfo name="TableStyleMedium1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2" xr:uid="{D537BCD6-2033-40CD-BFCB-E10332BE5AEA}" name="t_B3n4_AB6_Interval" displayName="t_B3n4_AB6_Interval" ref="BQ4:BQ12" headerRowDxfId="466" tableBorderDxfId="465">
  <tableColumns count="1">
    <tableColumn id="1" xr3:uid="{F2C16B47-F540-456D-BE8F-256B5DCCFBFF}" name="Interval" totalsRowFunction="sum" totalsRowDxfId="464">
      <calculatedColumnFormula>t_B3n4_AB6[[#This Row],[Offset]]-BR4</calculatedColumnFormula>
    </tableColumn>
  </tableColumns>
  <tableStyleInfo name="TableStyleMedium1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3" xr:uid="{753DA75A-605E-4842-A0AD-BF1BF3026908}" name="t_B3n4_AB7_Interval" displayName="t_B3n4_AB7_Interval" ref="BX4:BX12" headerRowDxfId="463" tableBorderDxfId="462">
  <tableColumns count="1">
    <tableColumn id="1" xr3:uid="{5BE1C6F3-64F3-480C-AAF1-DF8F0E15EF4B}" name="Interval" totalsRowFunction="sum" totalsRowDxfId="461">
      <calculatedColumnFormula>t_B3n4_AB7[[#This Row],[Offset]]-BY4</calculatedColumnFormula>
    </tableColumn>
  </tableColumns>
  <tableStyleInfo name="TableStyleMedium1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 xr:uid="{A4AC67D2-54F3-40CD-B6FA-1CA168BA82D8}" name="t_B3n4_AB8_Interval" displayName="t_B3n4_AB8_Interval" ref="CE4:CE12" headerRowDxfId="460" tableBorderDxfId="459">
  <tableColumns count="1">
    <tableColumn id="1" xr3:uid="{50A0D649-7F24-440F-A763-1CCFF87DC572}" name="Interval" totalsRowFunction="sum" totalsRowDxfId="458">
      <calculatedColumnFormula>t_B3n4_AB8[[#This Row],[Offset]]-CF4</calculatedColumnFormula>
    </tableColumn>
  </tableColumns>
  <tableStyleInfo name="TableStyleMedium1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5" xr:uid="{477D4770-BB55-4A62-9C60-22078DA06A12}" name="t_B3n4_AB9_Interval" displayName="t_B3n4_AB9_Interval" ref="CL4:CL12" headerRowDxfId="457" tableBorderDxfId="456">
  <tableColumns count="1">
    <tableColumn id="1" xr3:uid="{FD8E82D9-0959-463D-886A-1CA3DCF56B94}" name="Interval" totalsRowFunction="sum" totalsRowDxfId="455">
      <calculatedColumnFormula>t_B3n4_AB9[[#This Row],[Offset]]-CM4</calculatedColumnFormula>
    </tableColumn>
  </tableColumns>
  <tableStyleInfo name="TableStyleMedium1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6" xr:uid="{6830018B-AE8B-4DE9-AA1C-C585FA794F3A}" name="t_B3n4_AB10_Interval" displayName="t_B3n4_AB10_Interval" ref="CR4:CR12" headerRowDxfId="454" tableBorderDxfId="453">
  <tableColumns count="1">
    <tableColumn id="1" xr3:uid="{F0F2EFEC-3041-4D86-90D2-38E9A4289683}" name="Interval" totalsRowFunction="sum" totalsRowDxfId="452">
      <calculatedColumnFormula>t_B3n4_AB10[[#This Row],[Offset]]-CS4</calculatedColumnFormula>
    </tableColumn>
  </tableColumns>
  <tableStyleInfo name="TableStyleMedium1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7" xr:uid="{61E946E6-9DF2-4F42-9A03-A69FF3A96E3B}" name="t_B3n4_S1_Interval" displayName="t_B3n4_S1_Interval" ref="CY4:CY6" headerRowDxfId="451" tableBorderDxfId="450">
  <tableColumns count="1">
    <tableColumn id="1" xr3:uid="{25A3C8ED-74D9-4FFB-BA7E-ABF706BC8DD9}" name="Interval" totalsRowFunction="sum" dataDxfId="449" totalsRowDxfId="448">
      <calculatedColumnFormula>t_B3n4_S1[[#This Row],[Offset]]-CZ4</calculatedColumnFormula>
    </tableColumn>
  </tableColumns>
  <tableStyleInfo name="TableStyleMedium1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8" xr:uid="{EB921E53-6BDC-48E0-9293-63D23977412F}" name="t_B3n4_S2_Interval" displayName="t_B3n4_S2_Interval" ref="DE4:DE8" headerRowDxfId="447" tableBorderDxfId="446">
  <tableColumns count="1">
    <tableColumn id="1" xr3:uid="{0F3DB257-72EF-42EE-B599-ACBE39F466E0}" name="Interval" totalsRowFunction="sum" totalsRowDxfId="445">
      <calculatedColumnFormula>t_B3n4_S2[[#This Row],[Offset]]-DF4</calculatedColumnFormula>
    </tableColumn>
  </tableColumns>
  <tableStyleInfo name="TableStyleMedium1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 xr:uid="{17DD936D-4124-43C7-A2CB-B87892E94ACA}" name="t_B3n4_S3_Interval" displayName="t_B3n4_S3_Interval" ref="DK4:DK8" headerRowDxfId="444" tableBorderDxfId="443">
  <tableColumns count="1">
    <tableColumn id="1" xr3:uid="{95B5CE6E-5937-45D2-B8E4-417331B44A3D}" name="Interval" totalsRowFunction="sum" totalsRowDxfId="442">
      <calculatedColumnFormula>t_B3n4_S3[[#This Row],[Offset]]-DL4</calculatedColumnFormula>
    </tableColumn>
  </tableColumns>
  <tableStyleInfo name="TableStyleMedium1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6B259328-472A-4B2C-87EB-A2B497180B14}" name="t_B3n4_AB1" displayName="t_B3n4_AB1" ref="AM4:AO6" headerRowBorderDxfId="441" tableBorderDxfId="440">
  <autoFilter ref="AM4:AO6" xr:uid="{6B259328-472A-4B2C-87EB-A2B497180B14}"/>
  <sortState xmlns:xlrd2="http://schemas.microsoft.com/office/spreadsheetml/2017/richdata2" ref="AM5:AO6">
    <sortCondition ref="AM4:AM6"/>
  </sortState>
  <tableColumns count="3">
    <tableColumn id="1" xr3:uid="{4E0158CF-A75A-4A95-84B9-D31A0F8AB4DC}" name="Offset" totalsRowFunction="sum">
      <calculatedColumnFormula>INDEX(t_B3n4_Fixed[Offset],MATCH($A$85,t_B3n4[x],0),1)</calculatedColumnFormula>
    </tableColumn>
    <tableColumn id="2" xr3:uid="{6CA909BD-0746-43F3-BCC5-F95AEDA1D324}" name="X"/>
    <tableColumn id="3" xr3:uid="{573DE688-96BE-4DAC-B348-6BAC7F0C3172}" name="Sequence"/>
  </tableColumns>
  <tableStyleInfo name="TableStyleMedium9"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9306664-F4F1-4899-8F57-A919B5288DAD}" name="t_B3n4_AB2" displayName="t_B3n4_AB2" ref="AS4:AU8" headerRowBorderDxfId="439" tableBorderDxfId="438">
  <autoFilter ref="AS4:AU8" xr:uid="{79306664-F4F1-4899-8F57-A919B5288DAD}"/>
  <sortState xmlns:xlrd2="http://schemas.microsoft.com/office/spreadsheetml/2017/richdata2" ref="AS5:AU8">
    <sortCondition ref="AS4:AS8"/>
  </sortState>
  <tableColumns count="3">
    <tableColumn id="1" xr3:uid="{4081DC5A-3A35-41CD-9304-EE2FB6F79B51}" name="Offset" totalsRowFunction="sum"/>
    <tableColumn id="2" xr3:uid="{167D2060-173D-44B6-B18C-AE5F1A521129}" name="X"/>
    <tableColumn id="3" xr3:uid="{38E99A0F-C440-4742-83F0-3B6B867477E1}" name="Sequence"/>
  </tableColumns>
  <tableStyleInfo name="TableStyleMedium9"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55A82AC-C8FD-42B3-9BA3-DFB14C12C988}" name="t_B3n4_S1" displayName="t_B3n4_S1" ref="CZ4:DB6" headerRowBorderDxfId="437" tableBorderDxfId="436">
  <autoFilter ref="CZ4:DB6" xr:uid="{E55A82AC-C8FD-42B3-9BA3-DFB14C12C988}"/>
  <sortState xmlns:xlrd2="http://schemas.microsoft.com/office/spreadsheetml/2017/richdata2" ref="CZ5:DB6">
    <sortCondition ref="CZ4:CZ6"/>
  </sortState>
  <tableColumns count="3">
    <tableColumn id="1" xr3:uid="{D498299E-2909-41DC-A59E-F8AAEF964638}" name="Offset" totalsRowLabel="Total">
      <calculatedColumnFormula>INDEX(t_B3n4_Fixed[Offset],MATCH($A$65,t_B3n4[x],0),1)</calculatedColumnFormula>
    </tableColumn>
    <tableColumn id="2" xr3:uid="{7B94F74A-F125-4C22-8066-E0E9C08BCE5B}" name="X"/>
    <tableColumn id="3" xr3:uid="{B34BC041-48C4-4774-81C5-52EAE322C939}" name="Sequence" totalsRowFunction="count" dataDxfId="435" totalsRowDxfId="434"/>
  </tableColumns>
  <tableStyleInfo name="TableStyleMedium9"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C000000}" name="t_B4n2" displayName="t_B4n2" ref="D4:F21" totalsRowCount="1" headerRowDxfId="433" tableBorderDxfId="432">
  <autoFilter ref="D4:F20" xr:uid="{00000000-0009-0000-0100-00001F000000}"/>
  <sortState xmlns:xlrd2="http://schemas.microsoft.com/office/spreadsheetml/2017/richdata2" ref="D5:F20">
    <sortCondition ref="D4:D20"/>
  </sortState>
  <tableColumns count="3">
    <tableColumn id="1" xr3:uid="{00000000-0010-0000-0C00-000001000000}" name="x" totalsRowLabel="Total"/>
    <tableColumn id="3" xr3:uid="{00000000-0010-0000-0C00-000003000000}" name="b1" totalsRowFunction="sum" dataDxfId="431">
      <calculatedColumnFormula>MOD(INT(t_B4n2[[#This Row],[x]]/$B$1^INT(RIGHT(t_B4n2[[#Headers],[b1]],1))),$B$1)</calculatedColumnFormula>
    </tableColumn>
    <tableColumn id="4" xr3:uid="{00000000-0010-0000-0C00-000004000000}" name="b0" totalsRowFunction="sum" dataDxfId="430">
      <calculatedColumnFormula>MOD(INT(t_B4n2[[#This Row],[x]]/$B$1^INT(RIGHT(t_B4n2[[#Headers],[b0]],1))),$B$1)</calculatedColumnFormula>
    </tableColumn>
  </tableColumns>
  <tableStyleInfo name="TableStyleMedium9"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D000000}" name="t_B4n2_Fixed" displayName="t_B4n2_Fixed" ref="A4:C21" totalsRowCount="1" headerRowDxfId="429" tableBorderDxfId="428">
  <tableColumns count="3">
    <tableColumn id="1" xr3:uid="{00000000-0010-0000-0D00-000001000000}" name="Row" totalsRowLabel="Total" totalsRowDxfId="427"/>
    <tableColumn id="3" xr3:uid="{0707F1DB-1981-46A6-AE82-F173496FF9C7}" name="Offset" dataDxfId="426" totalsRowDxfId="425">
      <calculatedColumnFormula>ROUNDUP(t_B4n2_Fixed[[#This Row],[Row]]-$B$3,0)</calculatedColumnFormula>
    </tableColumn>
    <tableColumn id="4" xr3:uid="{5F3046C9-6DA0-40CD-9BD7-E9F5B03630E5}" name="Interval" totalsRowFunction="sum" dataDxfId="424">
      <calculatedColumnFormula>t_B4n2[[#This Row],[x]]-D4</calculatedColumnFormula>
    </tableColumn>
  </tableColumns>
  <tableStyleInfo name="TableStyleMedium12" showFirstColumn="1"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2F539958-AAC4-4A8E-96B9-C71EC18BF61A}" name="t_B4n2_AB3" displayName="t_B4n2_AB3" ref="AE4:AG8" tableBorderDxfId="423">
  <autoFilter ref="AE4:AG8" xr:uid="{2F539958-AAC4-4A8E-96B9-C71EC18BF61A}"/>
  <sortState xmlns:xlrd2="http://schemas.microsoft.com/office/spreadsheetml/2017/richdata2" ref="AE5:AG8">
    <sortCondition ref="AE4:AE8"/>
  </sortState>
  <tableColumns count="3">
    <tableColumn id="2" xr3:uid="{10187CBC-150C-439B-AA30-9A7F4CA221D2}" name="Offset" totalsRowFunction="sum" totalsRowDxfId="422"/>
    <tableColumn id="1" xr3:uid="{D8B5E47C-D694-4109-B69A-1517FB8137C4}" name="X" totalsRowDxfId="421"/>
    <tableColumn id="3" xr3:uid="{43DD7135-1E59-4157-98DE-8E4CA3380011}" name="Sequence" totalsRowDxfId="420"/>
  </tableColumns>
  <tableStyleInfo name="TableStyleMedium9"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2F85B117-846C-49E4-BDBC-D1648BEC6534}" name="t_B4n2_AB4" displayName="t_B4n2_AB4" ref="AK4:AN8" tableBorderDxfId="419">
  <autoFilter ref="AK4:AN8" xr:uid="{2F85B117-846C-49E4-BDBC-D1648BEC6534}"/>
  <sortState xmlns:xlrd2="http://schemas.microsoft.com/office/spreadsheetml/2017/richdata2" ref="AK5:AN8">
    <sortCondition ref="AK4:AK8"/>
  </sortState>
  <tableColumns count="4">
    <tableColumn id="2" xr3:uid="{5BF22DEB-CEEA-4D95-BBFD-D7732B3D0203}" name="Offset" totalsRowFunction="sum" totalsRowDxfId="418"/>
    <tableColumn id="1" xr3:uid="{3A87B387-1D59-44D0-97F9-CAF1D782A1D7}" name="k" totalsRowDxfId="417"/>
    <tableColumn id="4" xr3:uid="{ACCE1548-C1B9-41CA-AF9F-9535C366336F}" name="X" totalsRowDxfId="416"/>
    <tableColumn id="3" xr3:uid="{FD6EB69D-4F08-4C08-94AF-429978210F62}" name="Sequence" totalsRowDxfId="415"/>
  </tableColumns>
  <tableStyleInfo name="TableStyleMedium9"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82598CB5-D982-4905-BD37-204EDF5EF928}" name="t_B4n2_S1" displayName="t_B4n2_S1" ref="AR4:AT6" tableBorderDxfId="414">
  <autoFilter ref="AR4:AT6" xr:uid="{82598CB5-D982-4905-BD37-204EDF5EF928}"/>
  <sortState xmlns:xlrd2="http://schemas.microsoft.com/office/spreadsheetml/2017/richdata2" ref="AR5:AT6">
    <sortCondition ref="AR4:AR6"/>
  </sortState>
  <tableColumns count="3">
    <tableColumn id="2" xr3:uid="{85B4D6A8-75E6-4469-82BD-6AA7A4623778}" name="Offset" totalsRowFunction="sum" totalsRowDxfId="413">
      <calculatedColumnFormula>INDEX(t_B4n2_Fixed[Offset],MATCH($A$17,t_B4n2[x],0),1)</calculatedColumnFormula>
    </tableColumn>
    <tableColumn id="1" xr3:uid="{43935075-B802-4BAD-879B-FF83FFEDC1C5}" name="X" totalsRowDxfId="412"/>
    <tableColumn id="3" xr3:uid="{94B5870E-B37B-41D5-844B-FD9EC77297B3}" name="Sequence" dataDxfId="411" totalsRowDxfId="410"/>
  </tableColumns>
  <tableStyleInfo name="TableStyleMedium9"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27A00FDF-F227-40D2-B387-387EDA28229C}" name="t_B4n2_S2" displayName="t_B4n2_S2" ref="AX4:AZ6" tableBorderDxfId="409">
  <autoFilter ref="AX4:AZ6" xr:uid="{27A00FDF-F227-40D2-B387-387EDA28229C}"/>
  <sortState xmlns:xlrd2="http://schemas.microsoft.com/office/spreadsheetml/2017/richdata2" ref="AX5:AZ6">
    <sortCondition ref="AX4:AX6"/>
  </sortState>
  <tableColumns count="3">
    <tableColumn id="2" xr3:uid="{23998E41-90D4-4060-825C-380438C8CA1E}" name="Offset" totalsRowFunction="sum" totalsRowDxfId="408">
      <calculatedColumnFormula>INDEX(t_B4n2_Fixed[Offset],MATCH($A$14,t_B4n2[x],0),1)</calculatedColumnFormula>
    </tableColumn>
    <tableColumn id="1" xr3:uid="{8160B674-C36E-4D0E-9A5B-7CFF0CAAC5C7}" name="X" totalsRowDxfId="407"/>
    <tableColumn id="3" xr3:uid="{9537071C-7A21-472B-8E88-4B7CB5E25137}" name="Sequence" dataDxfId="406" totalsRowDxfId="405"/>
  </tableColumns>
  <tableStyleInfo name="TableStyleMedium9"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0" xr:uid="{8346EE16-03B1-4A93-9F40-A7BEC4B26C9B}" name="t_B4n2_AB1_Interval" displayName="t_B4n2_AB1_Interval" ref="R4:R6" headerRowDxfId="404" tableBorderDxfId="403">
  <tableColumns count="1">
    <tableColumn id="1" xr3:uid="{5882CA53-32D5-491A-A62E-93F5131A023E}" name="Interval" totalsRowFunction="sum" dataDxfId="402" totalsRowDxfId="401">
      <calculatedColumnFormula>t_B4n2_AB1[[#This Row],[Offset]]-S4</calculatedColumnFormula>
    </tableColumn>
  </tableColumns>
  <tableStyleInfo name="TableStyleMedium1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1" xr:uid="{6C48C7C1-E4DE-44B9-94BD-E636CB52C328}" name="t_B4n2_AB2_Interval" displayName="t_B4n2_AB2_Interval" ref="X4:X6" headerRowDxfId="400" tableBorderDxfId="399">
  <tableColumns count="1">
    <tableColumn id="1" xr3:uid="{40E8014D-EDC6-4E53-82DD-736AA92D7B60}" name="Interval" totalsRowFunction="sum" dataDxfId="398" totalsRowDxfId="397">
      <calculatedColumnFormula>t_B4n2_AB2[[#This Row],[Offset]]-Y4</calculatedColumnFormula>
    </tableColumn>
  </tableColumns>
  <tableStyleInfo name="TableStyleMedium1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2" xr:uid="{BDE763B8-229C-46E7-86AA-133A5AD4C47B}" name="t_B4n2_AB3_Interval" displayName="t_B4n2_AB3_Interval" ref="AD4:AD8" headerRowDxfId="396" tableBorderDxfId="395">
  <tableColumns count="1">
    <tableColumn id="1" xr3:uid="{1E46CBCD-032F-4489-B265-28907A326C29}" name="Interval" totalsRowFunction="sum" totalsRowDxfId="394">
      <calculatedColumnFormula>t_B4n2_AB3[[#This Row],[Offset]]-AE4</calculatedColumnFormula>
    </tableColumn>
  </tableColumns>
  <tableStyleInfo name="TableStyleMedium1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3" xr:uid="{AA9D59C0-84D9-4C70-8E57-294EA5B1A6A5}" name="t_B4n2_AB4_Interval" displayName="t_B4n2_AB4_Interval" ref="AJ4:AJ8" headerRowDxfId="393" tableBorderDxfId="392">
  <tableColumns count="1">
    <tableColumn id="1" xr3:uid="{9C219732-D4D9-4E7A-B997-7A5EA39B2485}" name="Interval" totalsRowFunction="sum" totalsRowDxfId="391">
      <calculatedColumnFormula>t_B4n2_AB4[[#This Row],[Offset]]-AK4</calculatedColumnFormula>
    </tableColumn>
  </tableColumns>
  <tableStyleInfo name="TableStyleMedium1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4" xr:uid="{7D6CCE0C-308A-49DC-B4B4-00A86920C14A}" name="t_B4n2_S1_Interval" displayName="t_B4n2_S1_Interval" ref="AQ4:AQ6" headerRowDxfId="390" tableBorderDxfId="389">
  <tableColumns count="1">
    <tableColumn id="1" xr3:uid="{2772AF1F-E9DD-4405-AED3-E92C4C26C44C}" name="Interval" totalsRowFunction="sum" totalsRowDxfId="388">
      <calculatedColumnFormula>t_B4n2_S1[[#This Row],[Offset]]-AR4</calculatedColumnFormula>
    </tableColumn>
  </tableColumns>
  <tableStyleInfo name="TableStyleMedium1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5" xr:uid="{D7820E83-8E41-411B-8C0B-0E708EFB61BA}" name="t_B4n2_S2_Interval" displayName="t_B4n2_S2_Interval" ref="AW4:AW6" headerRowDxfId="387" tableBorderDxfId="386">
  <tableColumns count="1">
    <tableColumn id="1" xr3:uid="{2F2E109F-E1AB-4874-AEF3-656E2CB7B8D1}" name="Interval" totalsRowFunction="sum" totalsRowDxfId="385">
      <calculatedColumnFormula>t_B4n2_S2[[#This Row],[Offset]]-AX4</calculatedColumnFormula>
    </tableColumn>
  </tableColumns>
  <tableStyleInfo name="TableStyleMedium1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CDCFCB0-5C41-4F2A-BD95-9D18899C6E39}" name="t_B4n2_AB1" displayName="t_B4n2_AB1" ref="S4:U6" headerRowBorderDxfId="384" tableBorderDxfId="383">
  <autoFilter ref="S4:U6" xr:uid="{7CDCFCB0-5C41-4F2A-BD95-9D18899C6E39}"/>
  <sortState xmlns:xlrd2="http://schemas.microsoft.com/office/spreadsheetml/2017/richdata2" ref="S5:U6">
    <sortCondition ref="S4:S6"/>
  </sortState>
  <tableColumns count="3">
    <tableColumn id="1" xr3:uid="{52F6B511-EB07-4DDB-9E9D-3330BA95DDC9}" name="Offset" totalsRowLabel="Total">
      <calculatedColumnFormula>INDEX(t_B4n2_Fixed[Offset],MATCH($A$20,t_B4n2[x],0),1)</calculatedColumnFormula>
    </tableColumn>
    <tableColumn id="2" xr3:uid="{0047EA39-23C1-40AE-964E-6EFD059DDDA1}" name="X"/>
    <tableColumn id="3" xr3:uid="{1FD3110F-EC2A-4045-860B-7BB404E9C8A5}" name="Sequence" totalsRowFunction="count"/>
  </tableColumns>
  <tableStyleInfo name="TableStyleMedium9"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282A486-97C4-4ADA-9653-A8B282A68D71}" name="t_B4n2_AB2" displayName="t_B4n2_AB2" ref="Y4:AA6" headerRowBorderDxfId="382" tableBorderDxfId="381">
  <autoFilter ref="Y4:AA6" xr:uid="{7282A486-97C4-4ADA-9653-A8B282A68D71}"/>
  <sortState xmlns:xlrd2="http://schemas.microsoft.com/office/spreadsheetml/2017/richdata2" ref="Y5:AA6">
    <sortCondition ref="Y4:Y6"/>
  </sortState>
  <tableColumns count="3">
    <tableColumn id="1" xr3:uid="{C3B7F502-4A27-4894-AE14-3B633430C378}" name="Offset" totalsRowLabel="Total">
      <calculatedColumnFormula>INDEX(t_B4n2_Fixed[Offset],MATCH($A$15,t_B4n2[x],0),1)</calculatedColumnFormula>
    </tableColumn>
    <tableColumn id="2" xr3:uid="{FC3DC4DD-9361-4BD2-B2D0-CB0F4567461B}" name="X"/>
    <tableColumn id="3" xr3:uid="{7301C76B-5AB4-4B40-B41F-06ED8E039536}" name="Sequence" totalsRowFunction="count"/>
  </tableColumns>
  <tableStyleInfo name="TableStyleMedium9"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E000000}" name="t_B4n3" displayName="t_B4n3" ref="D5:G70" totalsRowCount="1" headerRowDxfId="380" tableBorderDxfId="379">
  <autoFilter ref="D5:G69" xr:uid="{00000000-0009-0000-0100-000017000000}"/>
  <sortState xmlns:xlrd2="http://schemas.microsoft.com/office/spreadsheetml/2017/richdata2" ref="D6:G69">
    <sortCondition ref="D5:D69"/>
  </sortState>
  <tableColumns count="4">
    <tableColumn id="1" xr3:uid="{00000000-0010-0000-0E00-000001000000}" name="x" totalsRowLabel="Total"/>
    <tableColumn id="2" xr3:uid="{00000000-0010-0000-0E00-000002000000}" name="b2" totalsRowFunction="sum" dataDxfId="378">
      <calculatedColumnFormula>MOD(INT(t_B4n3[[#This Row],[x]]/$B$1^INT(RIGHT(t_B4n3[[#Headers],[b2]],1))),$B$1)</calculatedColumnFormula>
    </tableColumn>
    <tableColumn id="3" xr3:uid="{00000000-0010-0000-0E00-000003000000}" name="b1" totalsRowFunction="sum" dataDxfId="377">
      <calculatedColumnFormula>MOD(INT(t_B4n3[[#This Row],[x]]/$B$1^INT(RIGHT(t_B4n3[[#Headers],[b1]],1))),$B$1)</calculatedColumnFormula>
    </tableColumn>
    <tableColumn id="4" xr3:uid="{00000000-0010-0000-0E00-000004000000}" name="b0" totalsRowFunction="sum" dataDxfId="376">
      <calculatedColumnFormula>MOD(INT(t_B4n3[[#This Row],[x]]/$B$1^INT(RIGHT(t_B4n3[[#Headers],[b0]],1))),$B$1)</calculatedColumnFormula>
    </tableColumn>
  </tableColumns>
  <tableStyleInfo name="TableStyleMedium9"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F000000}" name="t_B4n3_Fixed" displayName="t_B4n3_Fixed" ref="A5:C70" totalsRowCount="1" headerRowDxfId="375" tableBorderDxfId="374">
  <tableColumns count="3">
    <tableColumn id="1" xr3:uid="{00000000-0010-0000-0F00-000001000000}" name="Row" totalsRowLabel="Total" totalsRowDxfId="373"/>
    <tableColumn id="3" xr3:uid="{2CA160B3-8257-4164-BE86-BC50EA9DEAE7}" name="Offset" dataDxfId="372" totalsRowDxfId="371">
      <calculatedColumnFormula>ROUNDUP(t_B4n3_Fixed[[#This Row],[Row]]-$B$4,0)</calculatedColumnFormula>
    </tableColumn>
    <tableColumn id="4" xr3:uid="{11C8321B-2267-4FE6-9562-60B7B1F51BA1}" name="Interval" totalsRowFunction="sum" dataDxfId="370">
      <calculatedColumnFormula>t_B4n3[[#This Row],[x]]-D5</calculatedColumnFormula>
    </tableColumn>
  </tableColumns>
  <tableStyleInfo name="TableStyleMedium12" showFirstColumn="1"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5FA64DDB-29CF-4330-80A9-5F72CBCFFE16}" name="t_B4n3_AB3" displayName="t_B4n3_AB3" ref="BD5:BF11" tableBorderDxfId="369">
  <autoFilter ref="BD5:BF11" xr:uid="{5FA64DDB-29CF-4330-80A9-5F72CBCFFE16}"/>
  <sortState xmlns:xlrd2="http://schemas.microsoft.com/office/spreadsheetml/2017/richdata2" ref="BD6:BF11">
    <sortCondition ref="BD5:BD11"/>
  </sortState>
  <tableColumns count="3">
    <tableColumn id="2" xr3:uid="{9BFAC360-FE00-44BA-A856-B84A4B71343B}" name="Offset" totalsRowFunction="sum" totalsRowDxfId="368"/>
    <tableColumn id="1" xr3:uid="{FBA872A3-5B73-4E18-B88D-876640200411}" name="X" totalsRowDxfId="367"/>
    <tableColumn id="3" xr3:uid="{EEDFF11F-C537-46B3-A4EA-458F2EC4F307}" name="Sequence" dataDxfId="366" totalsRowDxfId="365"/>
  </tableColumns>
  <tableStyleInfo name="TableStyleMedium9"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5265DEC9-FE7A-4931-824C-E27D3FDE7664}" name="t_B4n3_AB4" displayName="t_B4n3_AB4" ref="BJ5:BM11" tableBorderDxfId="364">
  <autoFilter ref="BJ5:BM11" xr:uid="{5265DEC9-FE7A-4931-824C-E27D3FDE7664}"/>
  <sortState xmlns:xlrd2="http://schemas.microsoft.com/office/spreadsheetml/2017/richdata2" ref="BJ6:BM11">
    <sortCondition ref="BJ5:BJ11"/>
  </sortState>
  <tableColumns count="4">
    <tableColumn id="2" xr3:uid="{15DB343D-0AAE-4CF9-82D0-AFEF94BB4987}" name="Offset" totalsRowFunction="sum" totalsRowDxfId="363"/>
    <tableColumn id="1" xr3:uid="{4391CAF7-CA8C-4008-A90B-EEFF11198DFB}" name="k" totalsRowDxfId="362"/>
    <tableColumn id="4" xr3:uid="{51F53DF4-268A-41AA-8540-0060CF7757DF}" name="X" totalsRowDxfId="361"/>
    <tableColumn id="3" xr3:uid="{E406688D-1E2E-40CC-8A35-155B3C24DF5D}" name="Sequence" dataDxfId="360" totalsRowDxfId="359"/>
  </tableColumns>
  <tableStyleInfo name="TableStyleMedium9"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697E810C-6057-463D-8454-78F22FE3AE4E}" name="t_B4n3_AB5" displayName="t_B4n3_AB5" ref="BQ5:BT11" tableBorderDxfId="358">
  <autoFilter ref="BQ5:BT11" xr:uid="{697E810C-6057-463D-8454-78F22FE3AE4E}"/>
  <sortState xmlns:xlrd2="http://schemas.microsoft.com/office/spreadsheetml/2017/richdata2" ref="BQ6:BT11">
    <sortCondition ref="BQ5:BQ11"/>
  </sortState>
  <tableColumns count="4">
    <tableColumn id="2" xr3:uid="{A4CD8C94-0E63-42AC-A5AF-A3FFE9FDF4BB}" name="Offset" totalsRowFunction="sum" totalsRowDxfId="357"/>
    <tableColumn id="1" xr3:uid="{8D9D785A-3B7A-41BE-B0EC-5C32D72BE5E3}" name="k" totalsRowDxfId="356"/>
    <tableColumn id="4" xr3:uid="{EB062F37-04D9-47FB-9AAF-F83B0B5EABEE}" name="X" totalsRowDxfId="355"/>
    <tableColumn id="3" xr3:uid="{D558FDBA-C096-4BFC-987C-AD5CE9320C95}" name="Sequence" dataDxfId="354" totalsRowDxfId="353"/>
  </tableColumns>
  <tableStyleInfo name="TableStyleMedium9"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B88F5369-E358-46B4-8600-93572F1CC9C6}" name="t_B4n3_AB6" displayName="t_B4n3_AB6" ref="BX5:BZ11" tableBorderDxfId="352">
  <autoFilter ref="BX5:BZ11" xr:uid="{B88F5369-E358-46B4-8600-93572F1CC9C6}"/>
  <sortState xmlns:xlrd2="http://schemas.microsoft.com/office/spreadsheetml/2017/richdata2" ref="BX6:BZ11">
    <sortCondition ref="BX5:BX11"/>
  </sortState>
  <tableColumns count="3">
    <tableColumn id="2" xr3:uid="{8B6CE9CA-3B35-4768-9DC4-A27F3BBEB9E4}" name="Offset" totalsRowFunction="sum" totalsRowDxfId="351"/>
    <tableColumn id="1" xr3:uid="{7E8425EF-6F49-45AB-A3B4-9A4FDFDFDAB3}" name="X" totalsRowDxfId="350"/>
    <tableColumn id="3" xr3:uid="{71AEF18C-8A3A-44BA-B3B0-4AD4698DC92B}" name="Sequence" dataDxfId="349" totalsRowDxfId="348"/>
  </tableColumns>
  <tableStyleInfo name="TableStyleMedium9"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8AD4D162-A5F1-4DA7-8C59-B06F7FB89448}" name="t_B4n3_AB12" displayName="t_B4n3_AB12" ref="DM5:DP11" tableBorderDxfId="347">
  <autoFilter ref="DM5:DP11" xr:uid="{8AD4D162-A5F1-4DA7-8C59-B06F7FB89448}"/>
  <sortState xmlns:xlrd2="http://schemas.microsoft.com/office/spreadsheetml/2017/richdata2" ref="DM6:DP11">
    <sortCondition ref="DM5:DM11"/>
  </sortState>
  <tableColumns count="4">
    <tableColumn id="2" xr3:uid="{CCCB3947-41CB-491A-82E0-EF390EF95336}" name="Offset" totalsRowFunction="sum" totalsRowDxfId="346"/>
    <tableColumn id="1" xr3:uid="{15171883-839D-480B-8F73-DF5165CC10E7}" name="k" totalsRowDxfId="345"/>
    <tableColumn id="4" xr3:uid="{7DDCB512-ECA3-4E2D-95A8-0682D4A83409}" name="X" totalsRowDxfId="344"/>
    <tableColumn id="3" xr3:uid="{8104CB53-B8C5-4F28-B3F7-ECC8497DA276}" name="Sequence" dataDxfId="343" totalsRowDxfId="342"/>
  </tableColumns>
  <tableStyleInfo name="TableStyleMedium9"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21A550E5-9740-4FC2-A106-82C000B2298B}" name="t_B4n3_AB7" displayName="t_B4n3_AB7" ref="CD5:CG11" tableBorderDxfId="341">
  <autoFilter ref="CD5:CG11" xr:uid="{21A550E5-9740-4FC2-A106-82C000B2298B}"/>
  <sortState xmlns:xlrd2="http://schemas.microsoft.com/office/spreadsheetml/2017/richdata2" ref="CD6:CG11">
    <sortCondition ref="CD5:CD11"/>
  </sortState>
  <tableColumns count="4">
    <tableColumn id="2" xr3:uid="{CCCDAEAB-2875-4661-A00E-4E4D36884C02}" name="Offset" totalsRowFunction="sum" totalsRowDxfId="340"/>
    <tableColumn id="1" xr3:uid="{13858007-BCB9-47AA-924F-857BE5D4C146}" name="k" totalsRowDxfId="339"/>
    <tableColumn id="4" xr3:uid="{4DCABC98-061C-4DC1-A287-CB81BEDD7EA8}" name="X" totalsRowDxfId="338"/>
    <tableColumn id="3" xr3:uid="{99880637-3B9C-4967-AB85-B2318EACECC8}" name="Sequence" dataDxfId="337" totalsRowDxfId="336"/>
  </tableColumns>
  <tableStyleInfo name="TableStyleMedium9"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C34FFEE6-947D-49A5-8EFB-D99DD91564E2}" name="t_B4n3_AB8" displayName="t_B4n3_AB8" ref="CK5:CN11" tableBorderDxfId="335">
  <autoFilter ref="CK5:CN11" xr:uid="{C34FFEE6-947D-49A5-8EFB-D99DD91564E2}"/>
  <sortState xmlns:xlrd2="http://schemas.microsoft.com/office/spreadsheetml/2017/richdata2" ref="CK6:CN11">
    <sortCondition ref="CK5:CK11"/>
  </sortState>
  <tableColumns count="4">
    <tableColumn id="2" xr3:uid="{B1910786-49BB-4699-AF9D-788B581C9D07}" name="Offset" totalsRowFunction="sum" totalsRowDxfId="334"/>
    <tableColumn id="1" xr3:uid="{4D405994-526C-4463-BC5F-9FDCCB24BC8F}" name="k" totalsRowDxfId="333"/>
    <tableColumn id="4" xr3:uid="{7CF53649-FB5B-49BF-8B09-EDF95A9D207C}" name="X" totalsRowDxfId="332"/>
    <tableColumn id="3" xr3:uid="{305A3FD8-902A-4D10-B25D-67242F660B5C}" name="Sequence" dataDxfId="331" totalsRowDxfId="330"/>
  </tableColumns>
  <tableStyleInfo name="TableStyleMedium9"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34D79974-98FD-402D-8FC8-916825E6C720}" name="t_B4n3_AB9" displayName="t_B4n3_AB9" ref="CR5:CU11" tableBorderDxfId="329">
  <autoFilter ref="CR5:CU11" xr:uid="{34D79974-98FD-402D-8FC8-916825E6C720}"/>
  <sortState xmlns:xlrd2="http://schemas.microsoft.com/office/spreadsheetml/2017/richdata2" ref="CR6:CU11">
    <sortCondition ref="CR5:CR11"/>
  </sortState>
  <tableColumns count="4">
    <tableColumn id="2" xr3:uid="{876A6B19-216A-4DAA-B3A6-2DDEB2C06C26}" name="Offset" totalsRowFunction="sum" totalsRowDxfId="328"/>
    <tableColumn id="1" xr3:uid="{0205BECC-A5C8-4A9B-950F-4AEBF654516F}" name="k" totalsRowDxfId="327"/>
    <tableColumn id="4" xr3:uid="{19EACB1D-9C48-404A-98F0-EFB3A8BD8EC1}" name="X" totalsRowDxfId="326"/>
    <tableColumn id="3" xr3:uid="{6BEC0F2A-A663-46A2-B6C7-79418A801081}" name="Sequence" dataDxfId="325" totalsRowDxfId="324"/>
  </tableColumns>
  <tableStyleInfo name="TableStyleMedium9"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91F25FF-BC28-49A9-86C6-8572B34AA909}" name="t_B4n3_AB10" displayName="t_B4n3_AB10" ref="CY5:DB11" tableBorderDxfId="323">
  <autoFilter ref="CY5:DB11" xr:uid="{791F25FF-BC28-49A9-86C6-8572B34AA909}"/>
  <sortState xmlns:xlrd2="http://schemas.microsoft.com/office/spreadsheetml/2017/richdata2" ref="CY6:DB11">
    <sortCondition ref="CY5:CY11"/>
  </sortState>
  <tableColumns count="4">
    <tableColumn id="2" xr3:uid="{EDC636C0-AC70-4A45-815E-05544E373471}" name="Offset" totalsRowFunction="sum" totalsRowDxfId="322"/>
    <tableColumn id="1" xr3:uid="{4B3616BA-B74B-411F-97EB-7AC8F7C22483}" name="k" totalsRowDxfId="321"/>
    <tableColumn id="4" xr3:uid="{75CB90FE-C984-4719-AD8E-612CC15AFF67}" name="X" totalsRowDxfId="320"/>
    <tableColumn id="3" xr3:uid="{1F8761DA-0ECF-4152-9CF3-B720E367933B}" name="Sequence" dataDxfId="319" totalsRowDxfId="318"/>
  </tableColumns>
  <tableStyleInfo name="TableStyleMedium9"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B85F4A3B-933B-451C-BBB4-608DAE6377A5}" name="t_B4n3_AB11" displayName="t_B4n3_AB11" ref="DF5:DI11" tableBorderDxfId="317">
  <autoFilter ref="DF5:DI11" xr:uid="{B85F4A3B-933B-451C-BBB4-608DAE6377A5}"/>
  <sortState xmlns:xlrd2="http://schemas.microsoft.com/office/spreadsheetml/2017/richdata2" ref="DF6:DI11">
    <sortCondition ref="DF5:DF11"/>
  </sortState>
  <tableColumns count="4">
    <tableColumn id="2" xr3:uid="{1BA0E922-7F8C-4B29-BBB8-1B74CA2B074D}" name="Offset" totalsRowFunction="sum" totalsRowDxfId="316"/>
    <tableColumn id="1" xr3:uid="{3D3E25B5-1D8C-435C-9A98-7655FE7F410F}" name="k" totalsRowDxfId="315"/>
    <tableColumn id="4" xr3:uid="{DF5C03F8-6B7C-4CB1-AA01-D860207EAC37}" name="X" totalsRowDxfId="314"/>
    <tableColumn id="3" xr3:uid="{3D2C3916-170C-4288-879B-5951B21C7537}" name="Sequence" dataDxfId="313" totalsRowDxfId="312"/>
  </tableColumns>
  <tableStyleInfo name="TableStyleMedium9"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6" xr:uid="{F4B02F6F-321F-4AC2-8D89-69008280D799}" name="t_B4n3_AB1_Interval" displayName="t_B4n3_AB1_Interval" ref="AQ5:AQ7" headerRowDxfId="311" tableBorderDxfId="310">
  <tableColumns count="1">
    <tableColumn id="1" xr3:uid="{42765A73-1510-4B37-A1B4-28C9469F461F}" name="Interval" totalsRowFunction="sum" dataDxfId="309" totalsRowDxfId="308">
      <calculatedColumnFormula>t_B4n3_AB1[[#This Row],[Offset]]-AR5</calculatedColumnFormula>
    </tableColumn>
  </tableColumns>
  <tableStyleInfo name="TableStyleMedium1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7" xr:uid="{3E3BAAB6-CA40-4DBF-A83E-9E6A1472B647}" name="t_B4n3_AB2_Interval" displayName="t_B4n3_AB2_Interval" ref="AW5:AW7" headerRowDxfId="307" tableBorderDxfId="306">
  <tableColumns count="1">
    <tableColumn id="1" xr3:uid="{43208188-8A53-4178-B260-4E7BEA8D3352}" name="Interval" totalsRowFunction="sum" dataDxfId="305" totalsRowDxfId="304">
      <calculatedColumnFormula>t_B4n3_AB2[[#This Row],[Offset]]-AX5</calculatedColumnFormula>
    </tableColumn>
  </tableColumns>
  <tableStyleInfo name="TableStyleMedium1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8" xr:uid="{6E1CD019-AECB-4C1E-9433-D95633D7CCC2}" name="t_B4n3_AB3_Interval" displayName="t_B4n3_AB3_Interval" ref="BC5:BC11" headerRowDxfId="303" tableBorderDxfId="302">
  <tableColumns count="1">
    <tableColumn id="1" xr3:uid="{5DFAFB63-EEED-433B-A4AD-314EEF1B94A9}" name="Interval" totalsRowFunction="sum" totalsRowDxfId="301">
      <calculatedColumnFormula>t_B4n3_AB3[[#This Row],[Offset]]-BD5</calculatedColumnFormula>
    </tableColumn>
  </tableColumns>
  <tableStyleInfo name="TableStyleMedium1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9" xr:uid="{F4EC1025-1ADA-4EEF-9A62-50215887091D}" name="t_B4n3_AB4_Interval" displayName="t_B4n3_AB4_Interval" ref="BI5:BI11" headerRowDxfId="300" tableBorderDxfId="299">
  <tableColumns count="1">
    <tableColumn id="1" xr3:uid="{3B4EB1DF-C2D7-4366-9555-DE185A4A199D}" name="Interval" totalsRowFunction="sum" totalsRowDxfId="298">
      <calculatedColumnFormula>t_B4n3_AB4[[#This Row],[Offset]]-BJ5</calculatedColumnFormula>
    </tableColumn>
  </tableColumns>
  <tableStyleInfo name="TableStyleMedium1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0" xr:uid="{7FDBDD0A-6156-4459-BCEE-81F38632ED2D}" name="t_B4n3_AB5_Interval" displayName="t_B4n3_AB5_Interval" ref="BP5:BP11" headerRowDxfId="297" tableBorderDxfId="296">
  <tableColumns count="1">
    <tableColumn id="1" xr3:uid="{9767B150-E09E-4273-BF82-DBF6E5E55AB3}" name="Interval" totalsRowFunction="sum" totalsRowDxfId="295">
      <calculatedColumnFormula>t_B4n3_AB5[[#This Row],[Offset]]-BQ5</calculatedColumnFormula>
    </tableColumn>
  </tableColumns>
  <tableStyleInfo name="TableStyleMedium1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1" xr:uid="{4C3E8C5D-4E1C-4C63-A637-F30C45A46C5A}" name="t_B4n3_AB6_Interval" displayName="t_B4n3_AB6_Interval" ref="BW5:BW11" headerRowDxfId="294" tableBorderDxfId="293">
  <tableColumns count="1">
    <tableColumn id="1" xr3:uid="{8140A3C9-FE4F-4659-A330-38C305EE6A53}" name="Interval" totalsRowFunction="sum" totalsRowDxfId="292">
      <calculatedColumnFormula>t_B4n3_AB6[[#This Row],[Offset]]-BX5</calculatedColumnFormula>
    </tableColumn>
  </tableColumns>
  <tableStyleInfo name="TableStyleMedium1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2" xr:uid="{F51F837B-A9B2-4631-B8DD-CCDD609634AE}" name="t_B4n3_AB7_Interval" displayName="t_B4n3_AB7_Interval" ref="CC5:CC11" headerRowDxfId="291" tableBorderDxfId="290">
  <tableColumns count="1">
    <tableColumn id="1" xr3:uid="{775ABB97-D699-48E5-B1D6-1035A6AB5A8F}" name="Interval" totalsRowFunction="sum" totalsRowDxfId="289">
      <calculatedColumnFormula>t_B4n3_AB7[[#This Row],[Offset]]-CD5</calculatedColumnFormula>
    </tableColumn>
  </tableColumns>
  <tableStyleInfo name="TableStyleMedium1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3" xr:uid="{43C01F7D-8BE1-416F-A3F3-B6026FCC1C04}" name="t_B4n3_AB8_Interval" displayName="t_B4n3_AB8_Interval" ref="CJ5:CJ11" headerRowDxfId="288">
  <tableColumns count="1">
    <tableColumn id="1" xr3:uid="{217E25FA-0F23-42D0-8165-5ECF5112F181}" name="Interval" totalsRowFunction="sum" dataDxfId="287">
      <calculatedColumnFormula>t_B4n3_AB8[[#This Row],[Offset]]-CK5</calculatedColumnFormula>
    </tableColumn>
  </tableColumns>
  <tableStyleInfo name="TableStyleMedium1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4" xr:uid="{BEC51C8F-F82E-4CB9-BE19-4AB09C6BF8E4}" name="t_B4n3_AB9_Interval" displayName="t_B4n3_AB9_Interval" ref="CQ5:CQ11" headerRowDxfId="286" tableBorderDxfId="285">
  <tableColumns count="1">
    <tableColumn id="1" xr3:uid="{0FBAF292-6B4E-45C3-82EB-14415ADC72F6}" name="Interval" totalsRowFunction="sum" totalsRowDxfId="284">
      <calculatedColumnFormula>t_B4n3_AB9[[#This Row],[Offset]]-CR5</calculatedColumnFormula>
    </tableColumn>
  </tableColumns>
  <tableStyleInfo name="TableStyleMedium1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5" xr:uid="{63F43D48-914F-4AF4-B32E-EA698A04AFF8}" name="t_B4n3_AB10_Interval" displayName="t_B4n3_AB10_Interval" ref="CX5:CX11" headerRowDxfId="283" tableBorderDxfId="282">
  <tableColumns count="1">
    <tableColumn id="1" xr3:uid="{DEFE2582-12A2-4D57-9068-A9BEEC573B9D}" name="Interval" totalsRowFunction="sum" totalsRowDxfId="281">
      <calculatedColumnFormula>t_B4n3_AB10[[#This Row],[Offset]]-CY5</calculatedColumnFormula>
    </tableColumn>
  </tableColumns>
  <tableStyleInfo name="TableStyleMedium1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6" xr:uid="{366CA26D-E2AF-4A56-8528-C219A77CFFB4}" name="t_B4n3_AB11_Interval" displayName="t_B4n3_AB11_Interval" ref="DE5:DE11" headerRowDxfId="280" tableBorderDxfId="279">
  <tableColumns count="1">
    <tableColumn id="1" xr3:uid="{D7348784-05CC-479E-ACE9-26AAEAB8DEEC}" name="Interval" totalsRowFunction="sum" totalsRowDxfId="278">
      <calculatedColumnFormula>t_B4n3_AB11[[#This Row],[Offset]]-DF5</calculatedColumnFormula>
    </tableColumn>
  </tableColumns>
  <tableStyleInfo name="TableStyleMedium1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7" xr:uid="{4E2CFB3E-722D-4845-9AE0-77F7CD73FF2C}" name="t_B4n3_AB12_Interval" displayName="t_B4n3_AB12_Interval" ref="DL5:DL11" headerRowDxfId="277" tableBorderDxfId="276">
  <tableColumns count="1">
    <tableColumn id="1" xr3:uid="{4FE53B8F-5A20-4EAE-8EAA-8C912219DBEC}" name="Interval" totalsRowFunction="sum" totalsRowDxfId="275">
      <calculatedColumnFormula>t_B4n3_AB12[[#This Row],[Offset]]-DM5</calculatedColumnFormula>
    </tableColumn>
  </tableColumns>
  <tableStyleInfo name="TableStyleMedium1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DEF29000-CD58-4EDC-BDF5-D5A24C96E9D5}" name="t_B4n3_AB1" displayName="t_B4n3_AB1" ref="AR5:AT7" headerRowBorderDxfId="274" tableBorderDxfId="273">
  <autoFilter ref="AR5:AT7" xr:uid="{DEF29000-CD58-4EDC-BDF5-D5A24C96E9D5}"/>
  <sortState xmlns:xlrd2="http://schemas.microsoft.com/office/spreadsheetml/2017/richdata2" ref="AR6:AT7">
    <sortCondition ref="AR5:AR7"/>
  </sortState>
  <tableColumns count="3">
    <tableColumn id="1" xr3:uid="{8311B1EA-2B67-490E-A973-3E6A144BE4B8}" name="Offset" totalsRowLabel="Total">
      <calculatedColumnFormula>INDEX(t_B4n3_Fixed[Offset],MATCH($A$69,t_B4n3[x],0),1)</calculatedColumnFormula>
    </tableColumn>
    <tableColumn id="2" xr3:uid="{B33A8C88-3B1E-491D-88C0-4B1FDC81A060}" name="X"/>
    <tableColumn id="3" xr3:uid="{5E48071F-BDFA-47D1-AE4D-35EA70B8CE8F}" name="Sequence" totalsRowFunction="count"/>
  </tableColumns>
  <tableStyleInfo name="TableStyleMedium9"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96834FF5-B093-4179-97E2-D15DDFF9E1A5}" name="t_B4n3_AB2" displayName="t_B4n3_AB2" ref="AX5:AZ7" headerRowBorderDxfId="272" tableBorderDxfId="271">
  <autoFilter ref="AX5:AZ7" xr:uid="{96834FF5-B093-4179-97E2-D15DDFF9E1A5}"/>
  <sortState xmlns:xlrd2="http://schemas.microsoft.com/office/spreadsheetml/2017/richdata2" ref="AX6:AZ7">
    <sortCondition ref="AX5:AX7"/>
  </sortState>
  <tableColumns count="3">
    <tableColumn id="1" xr3:uid="{8B5E6F54-3671-4FF1-945B-8E71737A55F2}" name="Offset" totalsRowLabel="Total">
      <calculatedColumnFormula>INDEX(t_B4n3_Fixed[Offset],MATCH($A$48,t_B4n3[x],0),1)</calculatedColumnFormula>
    </tableColumn>
    <tableColumn id="2" xr3:uid="{71D631E8-E9BC-4D4F-A7B8-31F738AF15D9}" name="X"/>
    <tableColumn id="3" xr3:uid="{C3C9ABDC-D858-4BAD-B339-5481AB3BE993}" name="Sequence" totalsRowFunction="count"/>
  </tableColumns>
  <tableStyleInfo name="TableStyleMedium9"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68050CC-9946-4D4D-B685-F6003C0FCAE7}" name="t_B5n2_Fixed" displayName="t_B5n2_Fixed" ref="A4:C30" totalsRowCount="1" headerRowDxfId="270" tableBorderDxfId="269">
  <tableColumns count="3">
    <tableColumn id="1" xr3:uid="{5FAF6806-428E-4E36-9E87-A59404CCA1C0}" name="Row" totalsRowLabel="Total" totalsRowDxfId="268"/>
    <tableColumn id="3" xr3:uid="{3A1A2240-2D49-45EC-A072-426526200673}" name="Offset" dataDxfId="267" totalsRowDxfId="266">
      <calculatedColumnFormula>ROUNDUP(t_B5n2_Fixed[[#This Row],[Row]]-$B$3,0)</calculatedColumnFormula>
    </tableColumn>
    <tableColumn id="4" xr3:uid="{422501A9-8D2F-451B-B421-AFFF35146EFB}" name="Interval" totalsRowFunction="sum" dataDxfId="265">
      <calculatedColumnFormula>t_B5n2[[#This Row],[x]]-D4</calculatedColumnFormula>
    </tableColumn>
  </tableColumns>
  <tableStyleInfo name="TableStyleMedium12" showFirstColumn="1"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B93FBD0-E28D-4096-A65E-76D665489FC0}" name="t_B5n2" displayName="t_B5n2" ref="D4:F30" totalsRowCount="1" headerRowDxfId="264" tableBorderDxfId="263">
  <autoFilter ref="D4:F29" xr:uid="{00000000-0009-0000-0100-00000D000000}"/>
  <sortState xmlns:xlrd2="http://schemas.microsoft.com/office/spreadsheetml/2017/richdata2" ref="D5:F29">
    <sortCondition ref="D4:D29"/>
  </sortState>
  <tableColumns count="3">
    <tableColumn id="1" xr3:uid="{06501258-113D-4A7C-9A03-905CDFC0B4EE}" name="x" totalsRowLabel="Total"/>
    <tableColumn id="3" xr3:uid="{64BFA3B5-E672-4C65-8E3D-85B069E060EF}" name="b1" totalsRowFunction="sum" dataDxfId="262">
      <calculatedColumnFormula>MOD(INT(t_B5n2[[#This Row],[x]]/$B$1^INT(RIGHT(t_B5n2[[#Headers],[b1]],1))),$B$1)</calculatedColumnFormula>
    </tableColumn>
    <tableColumn id="4" xr3:uid="{4C1F48B7-0631-4F1D-A6BB-B8AEF064655C}" name="b0" totalsRowFunction="sum" dataDxfId="261">
      <calculatedColumnFormula>MOD(INT(t_B5n2[[#This Row],[x]]/$B$1^INT(RIGHT(t_B5n2[[#Headers],[b0]],1))),$B$1)</calculatedColumnFormula>
    </tableColumn>
  </tableColumns>
  <tableStyleInfo name="TableStyleMedium9"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A9DC8ED-A021-41ED-A393-3644BF0B92E3}" name="t_B5n2_AB3" displayName="t_B5n2_AB3" ref="AL4:AN8" tableBorderDxfId="260">
  <autoFilter ref="AL4:AN8" xr:uid="{1A9DC8ED-A021-41ED-A393-3644BF0B92E3}"/>
  <sortState xmlns:xlrd2="http://schemas.microsoft.com/office/spreadsheetml/2017/richdata2" ref="AL5:AN8">
    <sortCondition ref="AL4:AL8"/>
  </sortState>
  <tableColumns count="3">
    <tableColumn id="2" xr3:uid="{CEC7B8A0-FDCB-4F44-8B9B-E8DAF832D898}" name="Offset" totalsRowDxfId="259"/>
    <tableColumn id="1" xr3:uid="{C45C36B3-927B-48A6-A4BD-2A47A52312FD}" name="X" totalsRowDxfId="258"/>
    <tableColumn id="3" xr3:uid="{1BF6DD9F-15CA-4854-980C-5D43FE381F37}" name="Sequence" totalsRowFunction="count" totalsRowDxfId="257"/>
  </tableColumns>
  <tableStyleInfo name="TableStyleMedium9"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3FCCB2CA-1DA8-4427-A41A-1927053B9BC9}" name="t_B5n2_AB4" displayName="t_B5n2_AB4" ref="AR4:AT8" tableBorderDxfId="256">
  <autoFilter ref="AR4:AT8" xr:uid="{3FCCB2CA-1DA8-4427-A41A-1927053B9BC9}"/>
  <sortState xmlns:xlrd2="http://schemas.microsoft.com/office/spreadsheetml/2017/richdata2" ref="AR5:AT8">
    <sortCondition ref="AR4:AR8"/>
  </sortState>
  <tableColumns count="3">
    <tableColumn id="2" xr3:uid="{21907088-624D-4D4C-AD9A-66C8E50E4DBB}" name="Offset" totalsRowFunction="sum" totalsRowDxfId="255"/>
    <tableColumn id="1" xr3:uid="{02B2F791-6465-4031-B447-AF3891BDF0F6}" name="X" totalsRowDxfId="254"/>
    <tableColumn id="3" xr3:uid="{849BA701-50BC-4855-A461-11E067F2E86A}" name="Sequence" totalsRowDxfId="253"/>
  </tableColumns>
  <tableStyleInfo name="TableStyleMedium9"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A5E84DC-4FD4-4917-A0D2-759DE8A751A4}" name="t_B5n2_AB5" displayName="t_B5n2_AB5" ref="AX4:BA8" tableBorderDxfId="252">
  <autoFilter ref="AX4:BA8" xr:uid="{0A5E84DC-4FD4-4917-A0D2-759DE8A751A4}"/>
  <sortState xmlns:xlrd2="http://schemas.microsoft.com/office/spreadsheetml/2017/richdata2" ref="AX5:BA8">
    <sortCondition ref="AX4:AX8"/>
  </sortState>
  <tableColumns count="4">
    <tableColumn id="2" xr3:uid="{09470077-A16E-4D60-BF9C-7814714478C9}" name="Offset" totalsRowFunction="sum" totalsRowDxfId="251"/>
    <tableColumn id="1" xr3:uid="{1B1DB0AB-804C-4D36-A6BD-0DC25B0705FA}" name="k" totalsRowDxfId="250"/>
    <tableColumn id="4" xr3:uid="{AB585D02-A75E-46E5-AD99-35BBFA5E0D21}" name="X" totalsRowDxfId="249"/>
    <tableColumn id="3" xr3:uid="{49F09A11-7028-48B0-8682-F211E4346A3A}" name="Sequence" totalsRowDxfId="248"/>
  </tableColumns>
  <tableStyleInfo name="TableStyleMedium9"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FE3EED51-FB06-40F8-BE44-5D1727E5D487}" name="t_B5n2_AB6" displayName="t_B5n2_AB6" ref="BE4:BG8" tableBorderDxfId="247">
  <autoFilter ref="BE4:BG8" xr:uid="{FE3EED51-FB06-40F8-BE44-5D1727E5D487}"/>
  <sortState xmlns:xlrd2="http://schemas.microsoft.com/office/spreadsheetml/2017/richdata2" ref="BE5:BG8">
    <sortCondition ref="BE4:BE8"/>
  </sortState>
  <tableColumns count="3">
    <tableColumn id="2" xr3:uid="{7929CD7A-3E29-42DB-A7C7-09618F7ED2C0}" name="Offset" totalsRowFunction="sum" totalsRowDxfId="246"/>
    <tableColumn id="1" xr3:uid="{5788E647-BC0E-4293-B317-9D63EBFA545A}" name="X" totalsRowDxfId="245"/>
    <tableColumn id="3" xr3:uid="{E0C895EA-5048-4E8B-A61B-FE60C8B7CE5A}" name="Sequence" totalsRowDxfId="244"/>
  </tableColumns>
  <tableStyleInfo name="TableStyleMedium9"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569E725B-5D07-41CE-87BE-51CBCB0A5092}" name="t_B5n2_S1" displayName="t_B5n2_S1" ref="BK4:BM6" tableBorderDxfId="243">
  <autoFilter ref="BK4:BM6" xr:uid="{569E725B-5D07-41CE-87BE-51CBCB0A5092}"/>
  <sortState xmlns:xlrd2="http://schemas.microsoft.com/office/spreadsheetml/2017/richdata2" ref="BK5:BM6">
    <sortCondition ref="BK4:BK6"/>
  </sortState>
  <tableColumns count="3">
    <tableColumn id="2" xr3:uid="{5CF43A30-C0DB-4CD8-A886-118EE7C91030}" name="Offset" totalsRowFunction="sum" totalsRowDxfId="242">
      <calculatedColumnFormula>INDEX(t_B5n2_Fixed[Offset],MATCH($A$25,t_B5n2[x],0),1)</calculatedColumnFormula>
    </tableColumn>
    <tableColumn id="1" xr3:uid="{910F41D3-4562-4B65-ABB7-2423FD317CDF}" name="X" totalsRowDxfId="241"/>
    <tableColumn id="3" xr3:uid="{7D5DD151-00C4-4383-A973-35DDFC0EA8D2}" name="Sequence" dataDxfId="240" totalsRowDxfId="239"/>
  </tableColumns>
  <tableStyleInfo name="TableStyleMedium9"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03613FD-2671-478F-99F1-36CFD1ED119C}" name="t_B5n2_S2" displayName="t_B5n2_S2" ref="BQ4:BS6" tableBorderDxfId="238">
  <autoFilter ref="BQ4:BS6" xr:uid="{203613FD-2671-478F-99F1-36CFD1ED119C}"/>
  <sortState xmlns:xlrd2="http://schemas.microsoft.com/office/spreadsheetml/2017/richdata2" ref="BQ5:BS6">
    <sortCondition ref="BQ4:BQ6"/>
  </sortState>
  <tableColumns count="3">
    <tableColumn id="2" xr3:uid="{47023DF5-C0E2-4754-9DFA-41935C0A5F49}" name="Offset" totalsRowFunction="sum" totalsRowDxfId="237">
      <calculatedColumnFormula>INDEX(t_B5n2_Fixed[Offset],MATCH($A$21,t_B5n2[x],0),1)</calculatedColumnFormula>
    </tableColumn>
    <tableColumn id="1" xr3:uid="{93690805-97D5-4828-B069-6BC182A87CCB}" name="X" totalsRowDxfId="236"/>
    <tableColumn id="3" xr3:uid="{A4AFD3A6-8C4A-45C3-B2E0-1FEE04B03A22}" name="Sequence" dataDxfId="235" totalsRowDxfId="234"/>
  </tableColumns>
  <tableStyleInfo name="TableStyleMedium9"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64B0B32B-B9D1-41AA-AEAD-437E684FEEBE}" name="t_B5n2_AB1_Interval" displayName="t_B5n2_AB1_Interval" ref="Y4:Y6" headerRowDxfId="233" tableBorderDxfId="232">
  <tableColumns count="1">
    <tableColumn id="1" xr3:uid="{E551921D-4B8F-4B70-9F44-7246B61FE752}" name="Interval" totalsRowFunction="sum" dataDxfId="231" totalsRowDxfId="230">
      <calculatedColumnFormula>t_B5n2_AB1[[#This Row],[Offset]]-Z4</calculatedColumnFormula>
    </tableColumn>
  </tableColumns>
  <tableStyleInfo name="TableStyleMedium12" showFirstColumn="0"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8" xr:uid="{50FAD042-248D-45CB-93D9-03826A3AF537}" name="t_B5n2_AB2_Interval" displayName="t_B5n2_AB2_Interval" ref="AE4:AE6" headerRowDxfId="229" tableBorderDxfId="228">
  <tableColumns count="1">
    <tableColumn id="1" xr3:uid="{6B48C59C-3E67-49EF-9E71-331683042710}" name="Interval" totalsRowFunction="sum" dataDxfId="227" totalsRowDxfId="226">
      <calculatedColumnFormula>t_B5n2_AB2[[#This Row],[Offset]]-AF4</calculatedColumnFormula>
    </tableColumn>
  </tableColumns>
  <tableStyleInfo name="TableStyleMedium12" showFirstColumn="0"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9" xr:uid="{79534A44-AE76-47A2-80FB-A616E17EF126}" name="t_B5n2_AB3_Interval" displayName="t_B5n2_AB3_Interval" ref="AK4:AK8" headerRowDxfId="225" tableBorderDxfId="224">
  <tableColumns count="1">
    <tableColumn id="1" xr3:uid="{B3D3AA76-9BC0-46F0-9AFF-A1FBBD9D7F0D}" name="Interval" totalsRowFunction="sum" totalsRowDxfId="223">
      <calculatedColumnFormula>t_B5n2_AB3[[#This Row],[Offset]]-AL4</calculatedColumnFormula>
    </tableColumn>
  </tableColumns>
  <tableStyleInfo name="TableStyleMedium12" showFirstColumn="0"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0" xr:uid="{BF51AC48-688F-4E44-8F7F-DB1B093865C3}" name="t_B5n2_AB4_Interval" displayName="t_B5n2_AB4_Interval" ref="AQ4:AQ8" headerRowDxfId="222" tableBorderDxfId="221">
  <tableColumns count="1">
    <tableColumn id="1" xr3:uid="{B78A2A80-388A-432A-849B-CA5C9BD5652D}" name="Interval" totalsRowFunction="sum" totalsRowDxfId="220">
      <calculatedColumnFormula>t_B5n2_AB4[[#This Row],[Offset]]-AR4</calculatedColumnFormula>
    </tableColumn>
  </tableColumns>
  <tableStyleInfo name="TableStyleMedium12" showFirstColumn="0"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1" xr:uid="{73400E03-8A7E-4DBB-9806-C356B7604019}" name="t_B5n2_AB5_Interval" displayName="t_B5n2_AB5_Interval" ref="AW4:AW8" headerRowDxfId="219" tableBorderDxfId="218">
  <tableColumns count="1">
    <tableColumn id="1" xr3:uid="{BE539884-A150-4EAE-836E-995100C30A89}" name="Interval" totalsRowFunction="sum" totalsRowDxfId="217">
      <calculatedColumnFormula>t_B5n2_AB5[[#This Row],[Offset]]-AX4</calculatedColumnFormula>
    </tableColumn>
  </tableColumns>
  <tableStyleInfo name="TableStyleMedium12" showFirstColumn="0" showLastColumn="0" showRowStripes="1"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2" xr:uid="{3CA0DEFF-85CB-4F36-96EF-D0B5B52DF5B7}" name="t_B5n2_AB6_Interval" displayName="t_B5n2_AB6_Interval" ref="BD4:BD8" headerRowDxfId="216" tableBorderDxfId="215">
  <tableColumns count="1">
    <tableColumn id="1" xr3:uid="{EFABDA41-E7EB-439B-84AD-CCF1A5323ACD}" name="Interval" totalsRowFunction="sum" totalsRowDxfId="214">
      <calculatedColumnFormula>t_B5n2_AB6[[#This Row],[Offset]]-BE4</calculatedColumnFormula>
    </tableColumn>
  </tableColumns>
  <tableStyleInfo name="TableStyleMedium12" showFirstColumn="0" showLastColumn="0" showRowStripes="1"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4" xr:uid="{2C0D80E3-9D25-45CF-95D6-3916A5A0F612}" name="t_B5n2_S1_Interval" displayName="t_B5n2_S1_Interval" ref="BJ4:BJ6" headerRowDxfId="213" tableBorderDxfId="212">
  <tableColumns count="1">
    <tableColumn id="1" xr3:uid="{8202B80D-D699-49F7-84B2-34D5EEBDFA1A}" name="Interval" totalsRowFunction="sum" totalsRowDxfId="211">
      <calculatedColumnFormula>t_B5n2_S1[[#This Row],[Offset]]-BK4</calculatedColumnFormula>
    </tableColumn>
  </tableColumns>
  <tableStyleInfo name="TableStyleMedium12" showFirstColumn="0" showLastColumn="0" showRowStripes="1"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5" xr:uid="{7E6AF831-540E-47B0-9E74-93701686FA37}" name="t_B5n2_S2_Interval" displayName="t_B5n2_S2_Interval" ref="BP4:BP6" headerRowDxfId="210" tableBorderDxfId="209">
  <tableColumns count="1">
    <tableColumn id="1" xr3:uid="{92493D0D-B30C-49D9-A05F-AC364B2D6C65}" name="Interval" totalsRowFunction="sum" dataDxfId="208" totalsRowDxfId="207">
      <calculatedColumnFormula>t_B5n2_S2[[#This Row],[Offset]]-BQ4</calculatedColumnFormula>
    </tableColumn>
  </tableColumns>
  <tableStyleInfo name="TableStyleMedium12" showFirstColumn="0" showLastColumn="0" showRowStripes="1"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4D473E9-9541-4FDB-91B4-41C3828BF73B}" name="t_B5n2_AB1" displayName="t_B5n2_AB1" ref="Z4:AB6" headerRowBorderDxfId="206" tableBorderDxfId="205">
  <autoFilter ref="Z4:AB6" xr:uid="{94D473E9-9541-4FDB-91B4-41C3828BF73B}"/>
  <sortState xmlns:xlrd2="http://schemas.microsoft.com/office/spreadsheetml/2017/richdata2" ref="Z5:AB6">
    <sortCondition ref="Z4:Z6"/>
  </sortState>
  <tableColumns count="3">
    <tableColumn id="1" xr3:uid="{00DB1278-5BAE-4235-85F8-4852953FA6C5}" name="Offset" totalsRowLabel="Total">
      <calculatedColumnFormula>INDEX(t_B5n2_Fixed[Offset],MATCH($A$29,t_B5n2[x],0),1)</calculatedColumnFormula>
    </tableColumn>
    <tableColumn id="2" xr3:uid="{0A6578CF-D0CC-497F-9865-D80EF8082264}" name="X"/>
    <tableColumn id="3" xr3:uid="{4D34ACE4-CA5C-4E2E-8B76-CC6278DF722E}" name="Sequence" totalsRowFunction="count"/>
  </tableColumns>
  <tableStyleInfo name="TableStyleMedium9" showFirstColumn="0" showLastColumn="0" showRowStripes="1"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1B325945-1598-4C94-8776-B86EBDF56D27}" name="t_B5n2_AB2" displayName="t_B5n2_AB2" ref="AF4:AH6" headerRowBorderDxfId="204" tableBorderDxfId="203">
  <autoFilter ref="AF4:AH6" xr:uid="{1B325945-1598-4C94-8776-B86EBDF56D27}"/>
  <sortState xmlns:xlrd2="http://schemas.microsoft.com/office/spreadsheetml/2017/richdata2" ref="AF5:AH6">
    <sortCondition ref="AF4:AF6"/>
  </sortState>
  <tableColumns count="3">
    <tableColumn id="1" xr3:uid="{C187C41A-6A15-4EFE-AF1C-06FE0AF00ED9}" name="Offset" totalsRowLabel="Total">
      <calculatedColumnFormula>INDEX(t_B5n2_Fixed[Offset],MATCH($A$23,t_B5n2[x],0),1)</calculatedColumnFormula>
    </tableColumn>
    <tableColumn id="2" xr3:uid="{1A43F83F-AFDD-46F1-8640-77607C93AEEA}" name="X"/>
    <tableColumn id="3" xr3:uid="{36BB5BBA-8787-4EBD-A162-8567189BA49C}" name="Sequence" totalsRowFunction="count"/>
  </tableColumns>
  <tableStyleInfo name="TableStyleMedium9" showFirstColumn="0" showLastColumn="0" showRowStripes="1" showColumnStripes="0"/>
</table>
</file>

<file path=xl/tables/table1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4605DB-E0ED-465F-9DC9-A87306C0E96D}" name="t_B2n2_P" displayName="t_B2n2_P" ref="E4:G7" totalsRowCount="1" headerRowDxfId="202" tableBorderDxfId="201">
  <autoFilter ref="E4:G6" xr:uid="{00000000-0009-0000-0100-000009000000}"/>
  <sortState xmlns:xlrd2="http://schemas.microsoft.com/office/spreadsheetml/2017/richdata2" ref="E5:G6">
    <sortCondition ref="E4:E6"/>
  </sortState>
  <tableColumns count="3">
    <tableColumn id="1" xr3:uid="{4AB18227-700B-4BB6-B467-334098B82DEE}" name="x" totalsRowLabel="Total"/>
    <tableColumn id="3" xr3:uid="{B5C5CBA3-7468-40CD-9C07-35F598946B82}" name="b1" totalsRowFunction="sum" dataDxfId="200">
      <calculatedColumnFormula>MOD(INT(t_B2n2_P[[#This Row],[x]]/$B$1^INT(RIGHT(t_B2n2_P[[#Headers],[b1]],1))),$B$1)</calculatedColumnFormula>
    </tableColumn>
    <tableColumn id="4" xr3:uid="{43FAED03-ECB4-4E06-83DD-9579DBABA124}" name="b0" totalsRowFunction="sum" dataDxfId="199">
      <calculatedColumnFormula>MOD(INT(t_B2n2_P[[#This Row],[x]]/$B$1^INT(RIGHT(t_B2n2_P[[#Headers],[b0]],1))),$B$1)</calculatedColumnFormula>
    </tableColumn>
  </tableColumns>
  <tableStyleInfo name="TableStyleMedium9" showFirstColumn="0" showLastColumn="0" showRowStripes="1" showColumnStripes="0"/>
</table>
</file>

<file path=xl/tables/table1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54FBFF0-AC08-4B95-801B-21DCDAA0AEF7}" name="t_B2n2_P_Fixed" displayName="t_B2n2_P_Fixed" ref="A4:D7" totalsRowCount="1" tableBorderDxfId="198">
  <tableColumns count="4">
    <tableColumn id="2" xr3:uid="{B9B3851D-6EC3-41AE-8309-F50570DF96EA}" name="Row"/>
    <tableColumn id="1" xr3:uid="{F8F946A4-8914-4CC9-8AA4-08CA107AAADA}" name="Fixed" totalsRowLabel="Total" totalsRowDxfId="197"/>
    <tableColumn id="3" xr3:uid="{8D6FFAD1-9899-4AF2-A9FC-C7EFF4318E82}" name="Offset" dataDxfId="196" totalsRowDxfId="195">
      <calculatedColumnFormula>ROUNDUP(t_B2n2_P_Fixed[[#This Row],[Fixed]]-$B$3,0)</calculatedColumnFormula>
    </tableColumn>
    <tableColumn id="4" xr3:uid="{B0937AA7-201E-4C96-B3F6-38B57C7E1201}" name="Interval" dataDxfId="194">
      <calculatedColumnFormula>t_B2n2_P[[#This Row],[x]]-E4</calculatedColumnFormula>
    </tableColumn>
  </tableColumns>
  <tableStyleInfo name="TableStyleMedium12" showFirstColumn="1" showLastColumn="0" showRowStripes="1" showColumnStripes="0"/>
</table>
</file>

<file path=xl/tables/table1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FDA5AA47-31F7-4229-86F7-B4C10CDAA11E}" name="t_B2n2_P_AB1" displayName="t_B2n2_P_AB1" ref="P4:R6" tableBorderDxfId="193">
  <autoFilter ref="P4:R6" xr:uid="{FDA5AA47-31F7-4229-86F7-B4C10CDAA11E}"/>
  <sortState xmlns:xlrd2="http://schemas.microsoft.com/office/spreadsheetml/2017/richdata2" ref="P5:R6">
    <sortCondition ref="P4:P6"/>
  </sortState>
  <tableColumns count="3">
    <tableColumn id="2" xr3:uid="{3A379546-FDCA-4969-81AC-2A57C950FA85}" name="Offset" totalsRowFunction="sum" totalsRowDxfId="192">
      <calculatedColumnFormula>INDEX(t_B2n2_P_Fixed[Offset],MATCH($B$6,t_B2n2_P[x],0),1)</calculatedColumnFormula>
    </tableColumn>
    <tableColumn id="1" xr3:uid="{422AAED1-E98F-482D-8FE4-5EB104E6DC80}" name="X" totalsRowDxfId="191"/>
    <tableColumn id="3" xr3:uid="{4CB830EF-6630-405E-B11D-2F9ED3CC228A}" name="Sequence" dataDxfId="190" totalsRowDxfId="189"/>
  </tableColumns>
  <tableStyleInfo name="TableStyleMedium9" showFirstColumn="0" showLastColumn="0" showRowStripes="1" showColumnStripes="0"/>
</table>
</file>

<file path=xl/tables/table1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6" xr:uid="{8DA8D0D7-616D-4F65-99DF-9BDBF838CAF2}" name="t_B2n2_P_AB1_Interval" displayName="t_B2n2_P_AB1_Interval" ref="O4:O6" headerRowDxfId="188" tableBorderDxfId="187">
  <tableColumns count="1">
    <tableColumn id="1" xr3:uid="{B9FBBE84-CA64-4FC8-9BB9-6D31D3BA92FB}" name="Interval" totalsRowFunction="sum" totalsRowDxfId="186">
      <calculatedColumnFormula>t_B2n2_P_AB1[[#This Row],[Offset]]-P4</calculatedColumnFormula>
    </tableColumn>
  </tableColumns>
  <tableStyleInfo name="TableStyleMedium12" showFirstColumn="0" showLastColumn="0" showRowStripes="1" showColumnStripes="0"/>
</table>
</file>

<file path=xl/tables/table1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9062AB-1E7C-48BC-93DD-A4DA36E245F9}" name="t_B3n3_P" displayName="t_B3n3_P" ref="E4:H11" totalsRowCount="1" headerRowDxfId="185" tableBorderDxfId="184">
  <autoFilter ref="E4:H10" xr:uid="{00000000-0009-0000-0100-000002000000}"/>
  <sortState xmlns:xlrd2="http://schemas.microsoft.com/office/spreadsheetml/2017/richdata2" ref="E5:H10">
    <sortCondition ref="E4:E10"/>
  </sortState>
  <tableColumns count="4">
    <tableColumn id="1" xr3:uid="{960DC670-51C2-46DE-A843-8193B25E6185}" name="x" totalsRowLabel="Total"/>
    <tableColumn id="2" xr3:uid="{57BF4502-B2FE-4F30-BD66-86CC408A8A22}" name="b2" totalsRowFunction="sum">
      <calculatedColumnFormula>MOD(INT(t_B3n3_P[[#This Row],[x]]/$B$1^INT(RIGHT(t_B3n3_P[[#Headers],[b2]],1))),$B$1)</calculatedColumnFormula>
    </tableColumn>
    <tableColumn id="3" xr3:uid="{17B962D6-4E60-474D-98EA-E3615C40B147}" name="b1" totalsRowFunction="sum">
      <calculatedColumnFormula>MOD(INT(t_B3n3_P[[#This Row],[x]]/$B$1^INT(RIGHT(t_B3n3_P[[#Headers],[b1]],1))),$B$1)</calculatedColumnFormula>
    </tableColumn>
    <tableColumn id="4" xr3:uid="{1168E734-C8C4-4508-B2B0-BD61C196E5B9}" name="b0" totalsRowFunction="sum" dataDxfId="183">
      <calculatedColumnFormula>MOD(INT(t_B3n3_P[[#This Row],[x]]/$B$1^INT(RIGHT(t_B3n3_P[[#Headers],[b0]],1))),$B$1)</calculatedColumnFormula>
    </tableColumn>
  </tableColumns>
  <tableStyleInfo name="TableStyleMedium9" showFirstColumn="0" showLastColumn="0" showRowStripes="1" showColumnStripes="0"/>
</table>
</file>

<file path=xl/tables/table1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31C6CD-6023-4B36-A3D3-25506D908B22}" name="t_B3n3_P_Fixed" displayName="t_B3n3_P_Fixed" ref="A4:D11" totalsRowCount="1" headerRowDxfId="182" tableBorderDxfId="181">
  <tableColumns count="4">
    <tableColumn id="6" xr3:uid="{CF238410-2796-45B1-9B43-7A961DCDB9DC}" name="Row"/>
    <tableColumn id="1" xr3:uid="{B12A233F-6B96-4E81-BA11-1FAFC079D77D}" name="Fixed" totalsRowLabel="Total" totalsRowDxfId="180"/>
    <tableColumn id="3" xr3:uid="{2AFB4238-0722-463C-BD0F-460E76CE3096}" name="Offset" dataDxfId="179" totalsRowDxfId="178">
      <calculatedColumnFormula>ROUNDUP(t_B3n3_P_Fixed[[#This Row],[Fixed]]-$B$3,0)</calculatedColumnFormula>
    </tableColumn>
    <tableColumn id="4" xr3:uid="{5000A3A8-340C-466B-9AA9-5BB3F06CE355}" name="Interval" dataDxfId="177">
      <calculatedColumnFormula>t_B3n3_P[[#This Row],[x]]-E4</calculatedColumnFormula>
    </tableColumn>
  </tableColumns>
  <tableStyleInfo name="TableStyleMedium12" showFirstColumn="1" showLastColumn="0" showRowStripes="1" showColumnStripes="0"/>
</table>
</file>

<file path=xl/tables/table1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737600B0-D65A-4C12-B17D-4EFE329D9CB0}" name="t_B3n3_P_AB1" displayName="t_B3n3_P_AB1" ref="S4:V10" tableBorderDxfId="176">
  <autoFilter ref="S4:V10" xr:uid="{737600B0-D65A-4C12-B17D-4EFE329D9CB0}"/>
  <sortState xmlns:xlrd2="http://schemas.microsoft.com/office/spreadsheetml/2017/richdata2" ref="S5:V10">
    <sortCondition ref="S4:S10"/>
  </sortState>
  <tableColumns count="4">
    <tableColumn id="2" xr3:uid="{9E3781BA-0347-4D9C-B1AE-30B7D22DFCEC}" name="Offset" totalsRowFunction="sum" totalsRowDxfId="175"/>
    <tableColumn id="1" xr3:uid="{B9EE0A24-C9CA-4BF8-B667-72E1783EFD7D}" name="k" totalsRowDxfId="174"/>
    <tableColumn id="4" xr3:uid="{D08067B3-3A3D-4B36-A8A9-21C8700264C7}" name="X" totalsRowDxfId="173"/>
    <tableColumn id="3" xr3:uid="{63226B28-B894-454B-AE79-31A49BBFA732}" name="Sequence" dataDxfId="172" totalsRowDxfId="171"/>
  </tableColumns>
  <tableStyleInfo name="TableStyleMedium9" showFirstColumn="0" showLastColumn="0" showRowStripes="1" showColumnStripes="0"/>
</table>
</file>

<file path=xl/tables/table1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7" xr:uid="{78D9BC85-35CD-4BD9-B295-E5E77F3C0C42}" name="t_B3n3_P_AB1_Interval" displayName="t_B3n3_P_AB1_Interval" ref="R4:R10" headerRowDxfId="170" tableBorderDxfId="169">
  <tableColumns count="1">
    <tableColumn id="1" xr3:uid="{C134C9BE-C698-43A8-8BFD-86BDF40CD7B1}" name="Interval" totalsRowFunction="sum" totalsRowDxfId="168">
      <calculatedColumnFormula>t_B3n3_P_AB1[[#This Row],[Offset]]-S4</calculatedColumnFormula>
    </tableColumn>
  </tableColumns>
  <tableStyleInfo name="TableStyleMedium12" showFirstColumn="0" showLastColumn="0" showRowStripes="1" showColumnStripes="0"/>
</table>
</file>

<file path=xl/tables/table1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062F8C-C009-4276-848B-EA32DF56B005}" name="t_B4n4_P" displayName="t_B4n4_P" ref="E4:I29" totalsRowCount="1" headerRowDxfId="167" tableBorderDxfId="166">
  <autoFilter ref="E4:I28" xr:uid="{00000000-0009-0000-0100-00000B000000}"/>
  <sortState xmlns:xlrd2="http://schemas.microsoft.com/office/spreadsheetml/2017/richdata2" ref="E5:I28">
    <sortCondition ref="E4:E28"/>
  </sortState>
  <tableColumns count="5">
    <tableColumn id="1" xr3:uid="{F2B0BE28-0AB1-4CF8-9D90-42C45F480F7B}" name="x" totalsRowLabel="Total" dataDxfId="165"/>
    <tableColumn id="10" xr3:uid="{B494E980-8A3B-427D-8D70-8F60DE359B0B}" name="b3" totalsRowFunction="sum" dataDxfId="164">
      <calculatedColumnFormula>MOD(INT(t_B4n4_P[[#This Row],[x]]/$B$1^INT(RIGHT(t_B4n4_P[[#Headers],[b3]],1))),$B$1)</calculatedColumnFormula>
    </tableColumn>
    <tableColumn id="2" xr3:uid="{F2B0D553-8C31-40A8-84D6-35D228D6C046}" name="b2" totalsRowFunction="sum" dataDxfId="163">
      <calculatedColumnFormula>MOD(INT(t_B4n4_P[[#This Row],[x]]/$B$1^INT(RIGHT(t_B4n4_P[[#Headers],[b2]],1))),$B$1)</calculatedColumnFormula>
    </tableColumn>
    <tableColumn id="3" xr3:uid="{7CFD484E-A781-4FD1-A82E-8ADF3B07AC16}" name="b1" totalsRowFunction="sum" dataDxfId="162">
      <calculatedColumnFormula>MOD(INT(t_B4n4_P[[#This Row],[x]]/$B$1^INT(RIGHT(t_B4n4_P[[#Headers],[b1]],1))),$B$1)</calculatedColumnFormula>
    </tableColumn>
    <tableColumn id="4" xr3:uid="{F70A76D8-8D44-4700-82A5-B5590DC0C8CF}" name="b0" totalsRowFunction="sum" dataDxfId="161">
      <calculatedColumnFormula>MOD(INT(t_B4n4_P[[#This Row],[x]]/$B$1^INT(RIGHT(t_B4n4_P[[#Headers],[b0]],1))),$B$1)</calculatedColumnFormula>
    </tableColumn>
  </tableColumns>
  <tableStyleInfo name="TableStyleMedium9" showFirstColumn="0" showLastColumn="0" showRowStripes="1" showColumnStripes="0"/>
</table>
</file>

<file path=xl/tables/table1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BE78F9-19A1-4E03-B039-FA564B9D24EE}" name="t_B4n4_P_Fixed" displayName="t_B4n4_P_Fixed" ref="A4:D29" totalsRowCount="1" headerRowDxfId="160" tableBorderDxfId="159">
  <tableColumns count="4">
    <tableColumn id="2" xr3:uid="{A09DBF69-91F8-4CA1-BCD3-4E7601859FDF}" name="Row"/>
    <tableColumn id="1" xr3:uid="{3B66E5F8-7CAA-41AA-8636-D00202C989B2}" name="Fixed" totalsRowLabel="Total" totalsRowDxfId="158"/>
    <tableColumn id="3" xr3:uid="{870B47D3-BE1E-406D-940C-4D24F0F4CA15}" name="Offset" dataDxfId="157" totalsRowDxfId="156">
      <calculatedColumnFormula>ROUNDUP(t_B4n4_P_Fixed[[#This Row],[Fixed]]-$B$3,0)</calculatedColumnFormula>
    </tableColumn>
    <tableColumn id="4" xr3:uid="{798C05FB-E62C-41A7-AA1D-EABE48DC2DDD}" name="Interval" dataDxfId="155">
      <calculatedColumnFormula>t_B4n4_P[[#This Row],[x]]-E4</calculatedColumnFormula>
    </tableColumn>
  </tableColumns>
  <tableStyleInfo name="TableStyleMedium12" showFirstColumn="1" showLastColumn="0" showRowStripes="1" showColumnStripes="0"/>
</table>
</file>

<file path=xl/tables/table1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376B021E-901D-4EC2-B2A5-82B0707BC30D}" name="t_B4n4_P_AB1" displayName="t_B4n4_P_AB1" ref="V4:Y12" tableBorderDxfId="154">
  <autoFilter ref="V4:Y12" xr:uid="{376B021E-901D-4EC2-B2A5-82B0707BC30D}"/>
  <sortState xmlns:xlrd2="http://schemas.microsoft.com/office/spreadsheetml/2017/richdata2" ref="V5:Y12">
    <sortCondition ref="V4:V12"/>
  </sortState>
  <tableColumns count="4">
    <tableColumn id="2" xr3:uid="{39C719D2-7C27-4176-8725-F9EFB548E02B}" name="Offset" totalsRowFunction="sum" totalsRowDxfId="153"/>
    <tableColumn id="1" xr3:uid="{82FB9362-38A6-489F-AE7E-CD12436B141E}" name="k" totalsRowDxfId="152"/>
    <tableColumn id="4" xr3:uid="{3CB94B57-CC9A-44CD-A73E-D493FB81B5F7}" name="X" totalsRowDxfId="151"/>
    <tableColumn id="3" xr3:uid="{CD211A48-767E-495A-85E9-74E52C25D864}" name="Sequence" dataDxfId="150" totalsRowDxfId="149"/>
  </tableColumns>
  <tableStyleInfo name="TableStyleMedium9" showFirstColumn="0" showLastColumn="0" showRowStripes="1" showColumnStripes="0"/>
</table>
</file>

<file path=xl/tables/table1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32BFAD08-BEFD-4A8F-91A3-9BF00EF3BE8B}" name="t_B4n4_P_AB2" displayName="t_B4n4_P_AB2" ref="AC4:AF12" tableBorderDxfId="148">
  <autoFilter ref="AC4:AF12" xr:uid="{32BFAD08-BEFD-4A8F-91A3-9BF00EF3BE8B}"/>
  <sortState xmlns:xlrd2="http://schemas.microsoft.com/office/spreadsheetml/2017/richdata2" ref="AC5:AF12">
    <sortCondition ref="AC4:AC12"/>
  </sortState>
  <tableColumns count="4">
    <tableColumn id="2" xr3:uid="{85A1E650-9A50-4966-A637-4A1924355F5D}" name="Offset" totalsRowFunction="sum" totalsRowDxfId="147"/>
    <tableColumn id="1" xr3:uid="{B5C9B23A-2E55-4B3C-901E-4DA25CBCA456}" name="k" totalsRowDxfId="146"/>
    <tableColumn id="4" xr3:uid="{501533D9-017D-4F2B-BD38-B0B188AFEC1C}" name="X" totalsRowDxfId="145"/>
    <tableColumn id="3" xr3:uid="{87F32761-EED3-4742-8475-9DF24944B305}" name="Sequence" dataDxfId="144" totalsRowDxfId="143"/>
  </tableColumns>
  <tableStyleInfo name="TableStyleMedium9" showFirstColumn="0" showLastColumn="0" showRowStripes="1" showColumnStripes="0"/>
</table>
</file>

<file path=xl/tables/table1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09EF47F6-E234-439E-9690-DD434F7D7FB1}" name="t_B4n4_P_S1" displayName="t_B4n4_P_S1" ref="AJ4:AL8" tableBorderDxfId="142">
  <autoFilter ref="AJ4:AL8" xr:uid="{09EF47F6-E234-439E-9690-DD434F7D7FB1}"/>
  <sortState xmlns:xlrd2="http://schemas.microsoft.com/office/spreadsheetml/2017/richdata2" ref="AJ5:AL8">
    <sortCondition ref="AJ4:AJ8"/>
  </sortState>
  <tableColumns count="3">
    <tableColumn id="2" xr3:uid="{AF5A5923-BEE2-42FB-BCB9-96D74309EF12}" name="Offset" totalsRowFunction="sum" totalsRowDxfId="141"/>
    <tableColumn id="1" xr3:uid="{827810AC-6483-439D-99E1-B0DD1A9F72A4}" name="X" totalsRowDxfId="140"/>
    <tableColumn id="3" xr3:uid="{CB8B1F67-A73F-4519-AC12-4EDA5ABE5498}" name="Sequence" dataDxfId="139" totalsRowDxfId="138"/>
  </tableColumns>
  <tableStyleInfo name="TableStyleMedium9" showFirstColumn="0" showLastColumn="0" showRowStripes="1" showColumnStripes="0"/>
</table>
</file>

<file path=xl/tables/table1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6AEC0DA2-1487-4CD1-AC25-D5F2DB9CD3A6}" name="t_B4n4_P_S2" displayName="t_B4n4_P_S2" ref="AP4:AR8" tableBorderDxfId="137">
  <autoFilter ref="AP4:AR8" xr:uid="{6AEC0DA2-1487-4CD1-AC25-D5F2DB9CD3A6}"/>
  <sortState xmlns:xlrd2="http://schemas.microsoft.com/office/spreadsheetml/2017/richdata2" ref="AP5:AR8">
    <sortCondition ref="AP4:AP8"/>
  </sortState>
  <tableColumns count="3">
    <tableColumn id="2" xr3:uid="{622D9C0E-618B-4028-B1B9-2DCCA140421A}" name="Offset" totalsRowFunction="sum" totalsRowDxfId="136"/>
    <tableColumn id="1" xr3:uid="{EB414041-04E2-4AA7-B944-5818192D57B8}" name="X" totalsRowDxfId="135"/>
    <tableColumn id="3" xr3:uid="{0F0AD704-FA18-45E3-A3D5-B51928897A3E}" name="Sequence" dataDxfId="134" totalsRowDxfId="133"/>
  </tableColumns>
  <tableStyleInfo name="TableStyleMedium9" showFirstColumn="0" showLastColumn="0" showRowStripes="1" showColumnStripes="0"/>
</table>
</file>

<file path=xl/tables/table1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8" xr:uid="{AE3D9703-EB10-44B6-A159-E110B7D2EF59}" name="t_B4n4_P_AB1_Interval" displayName="t_B4n4_P_AB1_Interval" ref="U4:U12" headerRowDxfId="132" tableBorderDxfId="131">
  <tableColumns count="1">
    <tableColumn id="1" xr3:uid="{7C06DA6D-5C96-4146-B1B8-83A77B2AD26A}" name="Interval" totalsRowFunction="sum" totalsRowDxfId="130">
      <calculatedColumnFormula>t_B4n4_P_AB1[[#This Row],[Offset]]-V4</calculatedColumnFormula>
    </tableColumn>
  </tableColumns>
  <tableStyleInfo name="TableStyleMedium12" showFirstColumn="0" showLastColumn="0" showRowStripes="1" showColumnStripes="0"/>
</table>
</file>

<file path=xl/tables/table1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9" xr:uid="{D3F7AB40-D171-4310-B15E-E8E5F4228852}" name="t_B4n4_P_AB2_Interval" displayName="t_B4n4_P_AB2_Interval" ref="AB4:AB12" headerRowDxfId="129" tableBorderDxfId="128">
  <tableColumns count="1">
    <tableColumn id="1" xr3:uid="{777A0431-6416-4757-93B1-1FA353AE06A7}" name="Interval" totalsRowFunction="sum" totalsRowDxfId="127">
      <calculatedColumnFormula>t_B4n4_P_AB2[[#This Row],[Offset]]-AC4</calculatedColumnFormula>
    </tableColumn>
  </tableColumns>
  <tableStyleInfo name="TableStyleMedium12" showFirstColumn="0" showLastColumn="0" showRowStripes="1" showColumnStripes="0"/>
</table>
</file>

<file path=xl/tables/table1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0" xr:uid="{78AA5EF1-67F0-4D83-92DF-775A6A524504}" name="t_B4n4_P_S1_Interval" displayName="t_B4n4_P_S1_Interval" ref="AI4:AI8" headerRowDxfId="126" tableBorderDxfId="125">
  <tableColumns count="1">
    <tableColumn id="1" xr3:uid="{93A9B865-B09A-4A84-AE79-FA56503BF3A3}" name="Interval" totalsRowFunction="sum" totalsRowDxfId="124">
      <calculatedColumnFormula>t_B4n4_P_S1[[#This Row],[Offset]]-AJ4</calculatedColumnFormula>
    </tableColumn>
  </tableColumns>
  <tableStyleInfo name="TableStyleMedium12" showFirstColumn="0" showLastColumn="0" showRowStripes="1" showColumnStripes="0"/>
</table>
</file>

<file path=xl/tables/table1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1" xr:uid="{C542D7AC-0DF2-4F42-A16E-A5FCE81F5B8B}" name="t_B4n4_P_S2_Interval" displayName="t_B4n4_P_S2_Interval" ref="AO4:AO8" headerRowDxfId="123" tableBorderDxfId="122">
  <tableColumns count="1">
    <tableColumn id="1" xr3:uid="{893692D6-EB33-469B-85BF-49D6E8F68351}" name="Interval" totalsRowFunction="sum" totalsRowDxfId="121">
      <calculatedColumnFormula>t_B4n4_P_S2[[#This Row],[Offset]]-AP4</calculatedColumnFormula>
    </tableColumn>
  </tableColumns>
  <tableStyleInfo name="TableStyleMedium12" showFirstColumn="0" showLastColumn="0" showRowStripes="1" showColumnStripes="0"/>
</table>
</file>

<file path=xl/tables/table1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20000000}" name="t_B5n5_P" displayName="t_B5n5_P" ref="E4:J125" totalsRowCount="1" headerRowDxfId="120" tableBorderDxfId="119">
  <autoFilter ref="E4:J124" xr:uid="{00000000-0009-0000-0100-00000D000000}"/>
  <sortState xmlns:xlrd2="http://schemas.microsoft.com/office/spreadsheetml/2017/richdata2" ref="E5:J124">
    <sortCondition ref="E4:E124"/>
  </sortState>
  <tableColumns count="6">
    <tableColumn id="1" xr3:uid="{00000000-0010-0000-2000-000001000000}" name="x"/>
    <tableColumn id="11" xr3:uid="{00000000-0010-0000-2000-00000B000000}" name="b4" totalsRowFunction="sum" dataDxfId="118"/>
    <tableColumn id="10" xr3:uid="{00000000-0010-0000-2000-00000A000000}" name="b3" totalsRowFunction="sum" dataDxfId="117"/>
    <tableColumn id="2" xr3:uid="{00000000-0010-0000-2000-000002000000}" name="b2" totalsRowFunction="sum" dataDxfId="116"/>
    <tableColumn id="3" xr3:uid="{00000000-0010-0000-2000-000003000000}" name="b1" totalsRowFunction="sum" dataDxfId="115"/>
    <tableColumn id="4" xr3:uid="{00000000-0010-0000-2000-000004000000}" name="b0" totalsRowFunction="sum" dataDxfId="114"/>
  </tableColumns>
  <tableStyleInfo name="TableStyleMedium9" showFirstColumn="0" showLastColumn="0" showRowStripes="1" showColumnStripes="0"/>
</table>
</file>

<file path=xl/tables/table1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1000000}" name="t_B5n5_P_Fixed" displayName="t_B5n5_P_Fixed" ref="A4:D125" totalsRowCount="1" headerRowDxfId="113" tableBorderDxfId="112">
  <tableColumns count="4">
    <tableColumn id="2" xr3:uid="{20963D8C-B4C2-4C4C-A189-6F915A7AE74D}" name="Row"/>
    <tableColumn id="1" xr3:uid="{00000000-0010-0000-2100-000001000000}" name="Fixed" totalsRowLabel="Total" totalsRowDxfId="111"/>
    <tableColumn id="3" xr3:uid="{F8264054-5E9D-4079-BD47-241F463590BE}" name="Offset" dataDxfId="110" totalsRowDxfId="109">
      <calculatedColumnFormula>ROUNDUP(t_B5n5_P_Fixed[[#This Row],[Fixed]]-$B$3,0)</calculatedColumnFormula>
    </tableColumn>
    <tableColumn id="4" xr3:uid="{B3A0B0F8-F3AA-410A-97F5-6AAF66927623}" name="Interval" dataDxfId="108">
      <calculatedColumnFormula>t_B5n5_P[[#This Row],[x]]-E4</calculatedColumnFormula>
    </tableColumn>
  </tableColumns>
  <tableStyleInfo name="TableStyleMedium12" showFirstColumn="1" showLastColumn="0" showRowStripes="1" showColumnStripes="0"/>
</table>
</file>

<file path=xl/tables/table1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9A52293C-A2A1-4FF5-B065-BC57E4456F28}" name="t_B5n5_P_AB1" displayName="t_B5n5_P_AB1" ref="BA4:BD14" tableBorderDxfId="107">
  <autoFilter ref="BA4:BD14" xr:uid="{9A52293C-A2A1-4FF5-B065-BC57E4456F28}"/>
  <sortState xmlns:xlrd2="http://schemas.microsoft.com/office/spreadsheetml/2017/richdata2" ref="BA5:BD14">
    <sortCondition ref="BA4:BA14"/>
  </sortState>
  <tableColumns count="4">
    <tableColumn id="2" xr3:uid="{02C3407E-087D-46E7-BA99-6A3022308921}" name="Offset" totalsRowFunction="sum" totalsRowDxfId="106"/>
    <tableColumn id="1" xr3:uid="{9D46FD67-287F-4198-ADA6-3F2CE22C375A}" name="k" totalsRowDxfId="105"/>
    <tableColumn id="4" xr3:uid="{867FB978-E914-406A-BEFD-D810470E4659}" name="X" totalsRowDxfId="104"/>
    <tableColumn id="3" xr3:uid="{A1384352-7383-4A71-9147-82FA592E2ADD}" name="Sequence" dataDxfId="103" totalsRowDxfId="102"/>
  </tableColumns>
  <tableStyleInfo name="TableStyleMedium9" showFirstColumn="0" showLastColumn="0" showRowStripes="1" showColumnStripes="0"/>
</table>
</file>

<file path=xl/tables/table1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17B746E7-7628-4D6F-A358-F064BD164B66}" name="t_B5n5_P_AB2" displayName="t_B5n5_P_AB2" ref="BH4:BK14" tableBorderDxfId="101">
  <autoFilter ref="BH4:BK14" xr:uid="{17B746E7-7628-4D6F-A358-F064BD164B66}"/>
  <sortState xmlns:xlrd2="http://schemas.microsoft.com/office/spreadsheetml/2017/richdata2" ref="BH5:BK14">
    <sortCondition ref="BH4:BH14"/>
  </sortState>
  <tableColumns count="4">
    <tableColumn id="2" xr3:uid="{495EE7AE-01AA-44EA-84FB-383E4A769956}" name="Offset" totalsRowFunction="sum" totalsRowDxfId="100"/>
    <tableColumn id="1" xr3:uid="{8E9DE66C-2328-4D4A-8056-E059FDCD005F}" name="k" totalsRowDxfId="99"/>
    <tableColumn id="4" xr3:uid="{60BA22AF-CB08-4832-967E-04239A7F44B8}" name="X" totalsRowDxfId="98"/>
    <tableColumn id="3" xr3:uid="{C7DA227C-DA94-4A22-A07E-C9A91A3D7D86}" name="Sequence" dataDxfId="97" totalsRowDxfId="96"/>
  </tableColumns>
  <tableStyleInfo name="TableStyleMedium9" showFirstColumn="0" showLastColumn="0" showRowStripes="1" showColumnStripes="0"/>
</table>
</file>

<file path=xl/tables/table1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AE40B2E5-660A-4B15-97E3-4B922301C33C}" name="t_B5n5_P_AB3" displayName="t_B5n5_P_AB3" ref="BO4:BR14" tableBorderDxfId="95">
  <autoFilter ref="BO4:BR14" xr:uid="{AE40B2E5-660A-4B15-97E3-4B922301C33C}"/>
  <sortState xmlns:xlrd2="http://schemas.microsoft.com/office/spreadsheetml/2017/richdata2" ref="BO5:BR14">
    <sortCondition ref="BO4:BO14"/>
  </sortState>
  <tableColumns count="4">
    <tableColumn id="2" xr3:uid="{15B0EAC7-7500-4CF7-AB3B-C895CFFC63CA}" name="Offset" totalsRowFunction="sum" totalsRowDxfId="94"/>
    <tableColumn id="1" xr3:uid="{8945DF44-AF9C-4A72-969F-688898E52FA2}" name="k" totalsRowDxfId="93"/>
    <tableColumn id="4" xr3:uid="{741A14EA-2A90-4ACE-8C31-52FCC45238F2}" name="X" totalsRowDxfId="92"/>
    <tableColumn id="3" xr3:uid="{77EE9ABD-5A82-4940-8F67-EDFFEC2509A1}" name="Sequence" dataDxfId="91" totalsRowDxfId="90"/>
  </tableColumns>
  <tableStyleInfo name="TableStyleMedium9" showFirstColumn="0" showLastColumn="0" showRowStripes="1" showColumnStripes="0"/>
</table>
</file>

<file path=xl/tables/table1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1E0B1405-0EF7-46AF-A738-AD53044BE6B4}" name="t_B5n5_P_AB4" displayName="t_B5n5_P_AB4" ref="BV4:BY14" tableBorderDxfId="89">
  <autoFilter ref="BV4:BY14" xr:uid="{1E0B1405-0EF7-46AF-A738-AD53044BE6B4}"/>
  <sortState xmlns:xlrd2="http://schemas.microsoft.com/office/spreadsheetml/2017/richdata2" ref="BV5:BY14">
    <sortCondition ref="BV4:BV14"/>
  </sortState>
  <tableColumns count="4">
    <tableColumn id="2" xr3:uid="{EAC6E7E2-83C7-4658-8082-9FD049213089}" name="Offset" totalsRowFunction="sum" totalsRowDxfId="88"/>
    <tableColumn id="1" xr3:uid="{022374ED-DA2D-41C4-A3F9-044011DC6843}" name="k" totalsRowDxfId="87"/>
    <tableColumn id="4" xr3:uid="{64A69BD1-0A95-4A49-A991-2B774DA74C11}" name="X" totalsRowDxfId="86"/>
    <tableColumn id="3" xr3:uid="{20DF4CCC-49EC-4C31-B020-35F249A3E9F2}" name="Sequence" dataDxfId="85" totalsRowDxfId="84"/>
  </tableColumns>
  <tableStyleInfo name="TableStyleMedium9" showFirstColumn="0" showLastColumn="0" showRowStripes="1" showColumnStripes="0"/>
</table>
</file>

<file path=xl/tables/table1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CFB574B0-68D8-4FA8-8C02-E500853B9A89}" name="t_B5n5_P_AB5" displayName="t_B5n5_P_AB5" ref="CC4:CF14" tableBorderDxfId="83">
  <autoFilter ref="CC4:CF14" xr:uid="{CFB574B0-68D8-4FA8-8C02-E500853B9A89}"/>
  <sortState xmlns:xlrd2="http://schemas.microsoft.com/office/spreadsheetml/2017/richdata2" ref="CC5:CF14">
    <sortCondition ref="CC4:CC14"/>
  </sortState>
  <tableColumns count="4">
    <tableColumn id="2" xr3:uid="{F10A0A70-FAFE-46CB-9F07-9596F0F19C29}" name="Offset" totalsRowFunction="sum" totalsRowDxfId="82"/>
    <tableColumn id="1" xr3:uid="{688020CD-2DEF-4293-B00E-FD2AFC83E4F7}" name="k" totalsRowDxfId="81"/>
    <tableColumn id="4" xr3:uid="{F425D3B7-54C8-4C6F-B735-ACB48CFBF074}" name="X" totalsRowDxfId="80"/>
    <tableColumn id="3" xr3:uid="{2AEAD96D-009C-40E0-B855-B99FD98FB43C}" name="Sequence" dataDxfId="79" totalsRowDxfId="78"/>
  </tableColumns>
  <tableStyleInfo name="TableStyleMedium9" showFirstColumn="0" showLastColumn="0" showRowStripes="1" showColumnStripes="0"/>
</table>
</file>

<file path=xl/tables/table1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9A9E63B7-0299-4473-914A-5EC939D166A6}" name="t_B5n5_P_AB6" displayName="t_B5n5_P_AB6" ref="CJ4:CM14" tableBorderDxfId="77">
  <autoFilter ref="CJ4:CM14" xr:uid="{9A9E63B7-0299-4473-914A-5EC939D166A6}"/>
  <sortState xmlns:xlrd2="http://schemas.microsoft.com/office/spreadsheetml/2017/richdata2" ref="CJ5:CM14">
    <sortCondition ref="CJ4:CJ14"/>
  </sortState>
  <tableColumns count="4">
    <tableColumn id="2" xr3:uid="{5421ADB2-C6A1-4F11-A8AD-740B1B5028BE}" name="Offset" totalsRowFunction="sum" totalsRowDxfId="76"/>
    <tableColumn id="1" xr3:uid="{038944CD-15DD-40B6-BFBB-7F04BE74C1DB}" name="k" totalsRowDxfId="75"/>
    <tableColumn id="4" xr3:uid="{45950FF2-E68E-4D73-8C12-4578E14BFB6F}" name="X" totalsRowDxfId="74"/>
    <tableColumn id="3" xr3:uid="{388B63A4-E7A2-448F-A285-9634DF162EDF}" name="Sequence" dataDxfId="73" totalsRowDxfId="72"/>
  </tableColumns>
  <tableStyleInfo name="TableStyleMedium9" showFirstColumn="0" showLastColumn="0" showRowStripes="1" showColumnStripes="0"/>
</table>
</file>

<file path=xl/tables/table1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8ED8D415-1C69-447D-B207-77BB1E888A7E}" name="t_B5n5_P_AB7" displayName="t_B5n5_P_AB7" ref="CQ4:CT14" tableBorderDxfId="71">
  <autoFilter ref="CQ4:CT14" xr:uid="{8ED8D415-1C69-447D-B207-77BB1E888A7E}"/>
  <sortState xmlns:xlrd2="http://schemas.microsoft.com/office/spreadsheetml/2017/richdata2" ref="CQ5:CT14">
    <sortCondition ref="CQ4:CQ14"/>
  </sortState>
  <tableColumns count="4">
    <tableColumn id="2" xr3:uid="{F406A753-81B6-4E62-AA67-32ACAB7B2B64}" name="Offset" totalsRowFunction="sum" totalsRowDxfId="70"/>
    <tableColumn id="1" xr3:uid="{ABFFA184-A392-456D-A68F-A21205CB8856}" name="k" totalsRowDxfId="69"/>
    <tableColumn id="4" xr3:uid="{E214FDF9-F201-4444-85EA-511D200221A7}" name="X" totalsRowDxfId="68"/>
    <tableColumn id="3" xr3:uid="{4E94F4E7-9F4C-4270-BE95-9891B61C16C4}" name="Sequence" dataDxfId="67" totalsRowDxfId="66"/>
  </tableColumns>
  <tableStyleInfo name="TableStyleMedium9" showFirstColumn="0" showLastColumn="0" showRowStripes="1" showColumnStripes="0"/>
</table>
</file>

<file path=xl/tables/table1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86140D9-410D-482C-808F-2134DDFE2588}" name="t_B5n5_P_AB8" displayName="t_B5n5_P_AB8" ref="CX4:DA14" tableBorderDxfId="65">
  <autoFilter ref="CX4:DA14" xr:uid="{986140D9-410D-482C-808F-2134DDFE2588}"/>
  <sortState xmlns:xlrd2="http://schemas.microsoft.com/office/spreadsheetml/2017/richdata2" ref="CX5:DA14">
    <sortCondition ref="CX4:CX14"/>
  </sortState>
  <tableColumns count="4">
    <tableColumn id="2" xr3:uid="{A6EA1926-5D0D-474C-B92B-74161BA63557}" name="Offset" totalsRowFunction="sum" totalsRowDxfId="64"/>
    <tableColumn id="1" xr3:uid="{69E8AFE0-A535-4134-B1AD-6859BDEEB5DF}" name="k" totalsRowDxfId="63"/>
    <tableColumn id="4" xr3:uid="{1CBC610E-E45E-4A9F-86E3-981E23282067}" name="X" totalsRowDxfId="62"/>
    <tableColumn id="3" xr3:uid="{55344F0A-6709-478C-8B6B-6C8A18488BB1}" name="Sequence" dataDxfId="61" totalsRowDxfId="60"/>
  </tableColumns>
  <tableStyleInfo name="TableStyleMedium9" showFirstColumn="0" showLastColumn="0" showRowStripes="1" showColumnStripes="0"/>
</table>
</file>

<file path=xl/tables/table1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0271E9AB-61DE-4ABD-ABAA-09D7549ECB07}" name="t_B5n5_P_AB9" displayName="t_B5n5_P_AB9" ref="DE4:DH14" tableBorderDxfId="59">
  <autoFilter ref="DE4:DH14" xr:uid="{0271E9AB-61DE-4ABD-ABAA-09D7549ECB07}"/>
  <sortState xmlns:xlrd2="http://schemas.microsoft.com/office/spreadsheetml/2017/richdata2" ref="DE5:DH14">
    <sortCondition ref="DE4:DE14"/>
  </sortState>
  <tableColumns count="4">
    <tableColumn id="2" xr3:uid="{0C2F00B8-D8F6-4FFA-AC14-CE4F138F7988}" name="Offset" totalsRowFunction="sum" totalsRowDxfId="58"/>
    <tableColumn id="1" xr3:uid="{58413762-6FBE-4B5B-97DD-ACE872D14CCE}" name="k" totalsRowDxfId="57"/>
    <tableColumn id="4" xr3:uid="{6842B2E5-6291-4CFB-BBCD-2B4EB8616722}" name="X" totalsRowDxfId="56"/>
    <tableColumn id="3" xr3:uid="{81BE666B-721F-41F0-BDE5-64B446959729}" name="Sequence" dataDxfId="55" totalsRowDxfId="54"/>
  </tableColumns>
  <tableStyleInfo name="TableStyleMedium9" showFirstColumn="0" showLastColumn="0" showRowStripes="1" showColumnStripes="0"/>
</table>
</file>

<file path=xl/tables/table1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5B2C4F70-9F7B-4897-B7F7-81E07783D0F1}" name="t_B5n5_P_AB10" displayName="t_B5n5_P_AB10" ref="DL4:DO14" tableBorderDxfId="53">
  <autoFilter ref="DL4:DO14" xr:uid="{5B2C4F70-9F7B-4897-B7F7-81E07783D0F1}"/>
  <sortState xmlns:xlrd2="http://schemas.microsoft.com/office/spreadsheetml/2017/richdata2" ref="DL5:DO14">
    <sortCondition ref="DL4:DL14"/>
  </sortState>
  <tableColumns count="4">
    <tableColumn id="2" xr3:uid="{1F55F2D2-1537-431A-8BAC-4F6A3980D813}" name="Offset" totalsRowFunction="sum" totalsRowDxfId="52"/>
    <tableColumn id="4" xr3:uid="{47BC8942-88A1-496D-87B3-5E84C06D307C}" name="k" totalsRowDxfId="51"/>
    <tableColumn id="1" xr3:uid="{AB71FD8D-6799-4FE0-97B8-970829BB52ED}" name="X" totalsRowDxfId="50"/>
    <tableColumn id="3" xr3:uid="{586BF9F5-962A-49C6-B2EC-3CACF877E29E}" name="Sequence" dataDxfId="49" totalsRowDxfId="48"/>
  </tableColumns>
  <tableStyleInfo name="TableStyleMedium9" showFirstColumn="0" showLastColumn="0" showRowStripes="1" showColumnStripes="0"/>
</table>
</file>

<file path=xl/tables/table1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D9E3F5AD-FA9E-412F-A32C-309593B42EF2}" name="t_B5n5_P_AB11" displayName="t_B5n5_P_AB11" ref="DS4:DV14" tableBorderDxfId="47">
  <autoFilter ref="DS4:DV14" xr:uid="{D9E3F5AD-FA9E-412F-A32C-309593B42EF2}"/>
  <sortState xmlns:xlrd2="http://schemas.microsoft.com/office/spreadsheetml/2017/richdata2" ref="DS5:DV14">
    <sortCondition ref="DS4:DS14"/>
  </sortState>
  <tableColumns count="4">
    <tableColumn id="2" xr3:uid="{BF6547EF-150B-4518-8783-618637ABC5BF}" name="Offset" totalsRowFunction="sum" totalsRowDxfId="46"/>
    <tableColumn id="1" xr3:uid="{03A44869-BB17-4E3A-A40F-89AD7D32360B}" name="k" totalsRowDxfId="45"/>
    <tableColumn id="4" xr3:uid="{075AD26E-90FE-4305-995F-BE9A913E5589}" name="X" totalsRowDxfId="44"/>
    <tableColumn id="3" xr3:uid="{5EAE4DBB-1672-4D6E-96E1-CBEC0A8C6E51}" name="Sequence" dataDxfId="43" totalsRowDxfId="42"/>
  </tableColumns>
  <tableStyleInfo name="TableStyleMedium9" showFirstColumn="0" showLastColumn="0" showRowStripes="1" showColumnStripes="0"/>
</table>
</file>

<file path=xl/tables/table1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6D58045D-17D8-4DC3-8B7F-52274FD79494}" name="t_B5n5_P_AB12" displayName="t_B5n5_P_AB12" ref="DZ4:EC14" tableBorderDxfId="41">
  <autoFilter ref="DZ4:EC14" xr:uid="{6D58045D-17D8-4DC3-8B7F-52274FD79494}"/>
  <sortState xmlns:xlrd2="http://schemas.microsoft.com/office/spreadsheetml/2017/richdata2" ref="DZ5:EC14">
    <sortCondition ref="DZ4:DZ14"/>
  </sortState>
  <tableColumns count="4">
    <tableColumn id="2" xr3:uid="{2995FC42-87E7-40C3-874A-27722C289694}" name="Offset" totalsRowFunction="sum" totalsRowDxfId="40"/>
    <tableColumn id="1" xr3:uid="{ADB3A19A-5E7C-49FF-9A0F-4F6624C50337}" name="k" totalsRowDxfId="39"/>
    <tableColumn id="4" xr3:uid="{998DE545-0497-4FDF-9B25-6A7B9C67E738}" name="X" totalsRowDxfId="38"/>
    <tableColumn id="3" xr3:uid="{FC52D9CB-4816-450D-AC3A-912F530514CD}" name="Sequence" dataDxfId="37" totalsRowDxfId="36"/>
  </tableColumns>
  <tableStyleInfo name="TableStyleMedium9" showFirstColumn="0" showLastColumn="0" showRowStripes="1" showColumnStripes="0"/>
</table>
</file>

<file path=xl/tables/table1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2" xr:uid="{72C0E899-32C9-478E-BE59-E82CFA427D5A}" name="t_B5n5_P_AB1_Interval" displayName="t_B5n5_P_AB1_Interval" ref="AZ4:AZ14" headerRowDxfId="35" tableBorderDxfId="34">
  <tableColumns count="1">
    <tableColumn id="1" xr3:uid="{182908C1-AD38-4B74-AAB9-760F545E1D26}" name="Interval" totalsRowFunction="sum" totalsRowDxfId="33">
      <calculatedColumnFormula>t_B5n5_P_AB1[[#This Row],[Offset]]-BA4</calculatedColumnFormula>
    </tableColumn>
  </tableColumns>
  <tableStyleInfo name="TableStyleMedium12" showFirstColumn="0" showLastColumn="0" showRowStripes="1" showColumnStripes="0"/>
</table>
</file>

<file path=xl/tables/table1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3" xr:uid="{EDF89488-728D-4B6C-A5B8-6591C18A4116}" name="t_B5n5_P_AB2_Interval" displayName="t_B5n5_P_AB2_Interval" ref="BG4:BG14" headerRowDxfId="32" tableBorderDxfId="31">
  <tableColumns count="1">
    <tableColumn id="1" xr3:uid="{69D22D53-A277-49BF-8F6F-39F1D83E10E6}" name="Interval" totalsRowFunction="sum" totalsRowDxfId="30">
      <calculatedColumnFormula>t_B5n5_P_AB2[[#This Row],[Offset]]-BH4</calculatedColumnFormula>
    </tableColumn>
  </tableColumns>
  <tableStyleInfo name="TableStyleMedium12" showFirstColumn="0" showLastColumn="0" showRowStripes="1" showColumnStripes="0"/>
</table>
</file>

<file path=xl/tables/table1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4" xr:uid="{6D5665A5-D684-4A2E-A785-A51FBBAACC79}" name="t_B5n5_P_AB3_Interval" displayName="t_B5n5_P_AB3_Interval" ref="BN4:BN14" headerRowDxfId="29" tableBorderDxfId="28">
  <tableColumns count="1">
    <tableColumn id="1" xr3:uid="{21D15394-5FE3-4105-B069-2CCB57D9803C}" name="Interval" totalsRowFunction="sum" totalsRowDxfId="27">
      <calculatedColumnFormula>t_B5n5_P_AB3[[#This Row],[Offset]]-BO4</calculatedColumnFormula>
    </tableColumn>
  </tableColumns>
  <tableStyleInfo name="TableStyleMedium12" showFirstColumn="0" showLastColumn="0" showRowStripes="1" showColumnStripes="0"/>
</table>
</file>

<file path=xl/tables/table1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5" xr:uid="{68A89014-391E-4DE7-ADB6-EA4D0412E5BB}" name="t_B5n5_P_AB4_Interval" displayName="t_B5n5_P_AB4_Interval" ref="BU4:BU14" headerRowDxfId="26" tableBorderDxfId="25">
  <tableColumns count="1">
    <tableColumn id="1" xr3:uid="{83113658-E08F-4049-8254-EF3BFD90B801}" name="Interval" totalsRowFunction="sum" totalsRowDxfId="24">
      <calculatedColumnFormula>t_B5n5_P_AB4[[#This Row],[Offset]]-BV4</calculatedColumnFormula>
    </tableColumn>
  </tableColumns>
  <tableStyleInfo name="TableStyleMedium12" showFirstColumn="0" showLastColumn="0" showRowStripes="1" showColumnStripes="0"/>
</table>
</file>

<file path=xl/tables/table1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6" xr:uid="{E29BF66F-86E7-47AF-82FD-DAB1FFE6606F}" name="t_B5n5_P_AB5_Interval" displayName="t_B5n5_P_AB5_Interval" ref="CB4:CB14" headerRowDxfId="23" tableBorderDxfId="22">
  <tableColumns count="1">
    <tableColumn id="1" xr3:uid="{02010DBC-EE07-4729-AD7E-81F54BEF992D}" name="Interval" totalsRowFunction="sum" totalsRowDxfId="21">
      <calculatedColumnFormula>t_B5n5_P_AB5[[#This Row],[Offset]]-CC4</calculatedColumnFormula>
    </tableColumn>
  </tableColumns>
  <tableStyleInfo name="TableStyleMedium12" showFirstColumn="0" showLastColumn="0" showRowStripes="1" showColumnStripes="0"/>
</table>
</file>

<file path=xl/tables/table1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7" xr:uid="{6080F44B-CED1-4CA6-AA60-0CD8057C5147}" name="t_B5n5_P_AB6_Interval" displayName="t_B5n5_P_AB6_Interval" ref="CI4:CI14" headerRowDxfId="20" tableBorderDxfId="19">
  <tableColumns count="1">
    <tableColumn id="1" xr3:uid="{355A2319-3DE0-4E23-A0AF-A3B8F1F3C626}" name="Interval" totalsRowFunction="sum" totalsRowDxfId="18">
      <calculatedColumnFormula>t_B5n5_P_AB6[[#This Row],[Offset]]-CJ4</calculatedColumnFormula>
    </tableColumn>
  </tableColumns>
  <tableStyleInfo name="TableStyleMedium12" showFirstColumn="0" showLastColumn="0" showRowStripes="1" showColumnStripes="0"/>
</table>
</file>

<file path=xl/tables/table1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8" xr:uid="{1068379D-2D48-468C-8878-5769C705ADF5}" name="t_B5n5_P_AB7_Interval" displayName="t_B5n5_P_AB7_Interval" ref="CP4:CP14" headerRowDxfId="17" tableBorderDxfId="16">
  <tableColumns count="1">
    <tableColumn id="1" xr3:uid="{C85E0231-28BA-4ADC-922D-8915BD0F5063}" name="Interval" totalsRowFunction="sum" totalsRowDxfId="15">
      <calculatedColumnFormula>t_B5n5_P_AB7[[#This Row],[Offset]]-CQ4</calculatedColumnFormula>
    </tableColumn>
  </tableColumns>
  <tableStyleInfo name="TableStyleMedium12" showFirstColumn="0" showLastColumn="0" showRowStripes="1" showColumnStripes="0"/>
</table>
</file>

<file path=xl/tables/table1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9" xr:uid="{A830B6BC-8419-43CC-8793-A224160E466A}" name="t_B5n5_P_AB8_Interval" displayName="t_B5n5_P_AB8_Interval" ref="CW4:CW14" headerRowDxfId="14" tableBorderDxfId="13">
  <tableColumns count="1">
    <tableColumn id="1" xr3:uid="{3A4247C1-7838-4A15-8EAA-8E7640716E98}" name="Interval" totalsRowFunction="sum" totalsRowDxfId="12">
      <calculatedColumnFormula>t_B5n5_P_AB8[[#This Row],[Offset]]-CX4</calculatedColumnFormula>
    </tableColumn>
  </tableColumns>
  <tableStyleInfo name="TableStyleMedium12" showFirstColumn="0" showLastColumn="0" showRowStripes="1" showColumnStripes="0"/>
</table>
</file>

<file path=xl/tables/table1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0" xr:uid="{F606B351-E547-4F8B-BD6E-CB8127B449EA}" name="t_B5n5_P_AB9_Interval" displayName="t_B5n5_P_AB9_Interval" ref="DD4:DD14" headerRowDxfId="11" tableBorderDxfId="10">
  <tableColumns count="1">
    <tableColumn id="1" xr3:uid="{40F2BAA6-5C4F-4518-92ED-00DD263ECB26}" name="Interval" totalsRowFunction="sum" totalsRowDxfId="9">
      <calculatedColumnFormula>t_B5n5_P_AB9[[#This Row],[Offset]]-DE4</calculatedColumnFormula>
    </tableColumn>
  </tableColumns>
  <tableStyleInfo name="TableStyleMedium12" showFirstColumn="0" showLastColumn="0" showRowStripes="1" showColumnStripes="0"/>
</table>
</file>

<file path=xl/tables/table2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1" xr:uid="{7498FF93-3B70-4C05-9CCC-647BFCF2B18E}" name="t_B5n5_P_AB10_Interval" displayName="t_B5n5_P_AB10_Interval" ref="DK4:DK14" headerRowDxfId="8" tableBorderDxfId="7">
  <tableColumns count="1">
    <tableColumn id="1" xr3:uid="{F97BC4F0-A2E8-46A1-9FE2-8DEEC5C97B5D}" name="Interval" totalsRowFunction="sum" totalsRowDxfId="6">
      <calculatedColumnFormula>t_B5n5_P_AB10[[#This Row],[Offset]]-DL4</calculatedColumnFormula>
    </tableColumn>
  </tableColumns>
  <tableStyleInfo name="TableStyleMedium12" showFirstColumn="0" showLastColumn="0" showRowStripes="1" showColumnStripes="0"/>
</table>
</file>

<file path=xl/tables/table2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2" xr:uid="{94ED96BA-4145-46E6-9375-2C6A98970C38}" name="t_B5n5_P_AB11_Interval" displayName="t_B5n5_P_AB11_Interval" ref="DR4:DR14" headerRowDxfId="5" tableBorderDxfId="4">
  <tableColumns count="1">
    <tableColumn id="1" xr3:uid="{AE79C04C-E9B8-457E-822A-DDBC6180A795}" name="Interval" totalsRowFunction="sum" totalsRowDxfId="3">
      <calculatedColumnFormula>t_B5n5_P_AB11[[#This Row],[Offset]]-DS4</calculatedColumnFormula>
    </tableColumn>
  </tableColumns>
  <tableStyleInfo name="TableStyleMedium12" showFirstColumn="0" showLastColumn="0" showRowStripes="1" showColumnStripes="0"/>
</table>
</file>

<file path=xl/tables/table2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3" xr:uid="{3D02A5DB-9905-4128-8162-C33E2FB3A3D9}" name="t_B5n5_P_AB12_Interval" displayName="t_B5n5_P_AB12_Interval" ref="DY4:DY14" headerRowDxfId="2" tableBorderDxfId="1">
  <tableColumns count="1">
    <tableColumn id="1" xr3:uid="{6CF10818-1471-4F44-8DDA-AB2AE8FAF1A0}" name="Interval" totalsRowFunction="sum" totalsRowDxfId="0">
      <calculatedColumnFormula>t_B5n5_P_AB12[[#This Row],[Offset]]-DZ4</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3.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1.xml"/><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4.bin"/><Relationship Id="rId6" Type="http://schemas.openxmlformats.org/officeDocument/2006/relationships/table" Target="../tables/table19.xml"/><Relationship Id="rId11" Type="http://schemas.openxmlformats.org/officeDocument/2006/relationships/table" Target="../tables/table24.xml"/><Relationship Id="rId5" Type="http://schemas.openxmlformats.org/officeDocument/2006/relationships/table" Target="../tables/table18.xml"/><Relationship Id="rId10" Type="http://schemas.openxmlformats.org/officeDocument/2006/relationships/table" Target="../tables/table23.xml"/><Relationship Id="rId4" Type="http://schemas.openxmlformats.org/officeDocument/2006/relationships/table" Target="../tables/table17.xml"/><Relationship Id="rId9" Type="http://schemas.openxmlformats.org/officeDocument/2006/relationships/table" Target="../tables/table22.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1.xml"/><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printerSettings" Target="../printerSettings/printerSettings5.bin"/><Relationship Id="rId6" Type="http://schemas.openxmlformats.org/officeDocument/2006/relationships/table" Target="../tables/table29.xml"/><Relationship Id="rId11" Type="http://schemas.openxmlformats.org/officeDocument/2006/relationships/table" Target="../tables/table34.xml"/><Relationship Id="rId5" Type="http://schemas.openxmlformats.org/officeDocument/2006/relationships/table" Target="../tables/table28.xml"/><Relationship Id="rId10" Type="http://schemas.openxmlformats.org/officeDocument/2006/relationships/table" Target="../tables/table33.xml"/><Relationship Id="rId4" Type="http://schemas.openxmlformats.org/officeDocument/2006/relationships/table" Target="../tables/table27.xml"/><Relationship Id="rId9"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8" Type="http://schemas.openxmlformats.org/officeDocument/2006/relationships/table" Target="../tables/table41.xml"/><Relationship Id="rId13" Type="http://schemas.openxmlformats.org/officeDocument/2006/relationships/table" Target="../tables/table46.xml"/><Relationship Id="rId18" Type="http://schemas.openxmlformats.org/officeDocument/2006/relationships/table" Target="../tables/table51.xml"/><Relationship Id="rId3" Type="http://schemas.openxmlformats.org/officeDocument/2006/relationships/table" Target="../tables/table36.xml"/><Relationship Id="rId7" Type="http://schemas.openxmlformats.org/officeDocument/2006/relationships/table" Target="../tables/table40.xml"/><Relationship Id="rId12" Type="http://schemas.openxmlformats.org/officeDocument/2006/relationships/table" Target="../tables/table45.xml"/><Relationship Id="rId17" Type="http://schemas.openxmlformats.org/officeDocument/2006/relationships/table" Target="../tables/table50.xml"/><Relationship Id="rId2" Type="http://schemas.openxmlformats.org/officeDocument/2006/relationships/table" Target="../tables/table35.xml"/><Relationship Id="rId16" Type="http://schemas.openxmlformats.org/officeDocument/2006/relationships/table" Target="../tables/table49.xml"/><Relationship Id="rId1" Type="http://schemas.openxmlformats.org/officeDocument/2006/relationships/printerSettings" Target="../printerSettings/printerSettings6.bin"/><Relationship Id="rId6" Type="http://schemas.openxmlformats.org/officeDocument/2006/relationships/table" Target="../tables/table39.xml"/><Relationship Id="rId11" Type="http://schemas.openxmlformats.org/officeDocument/2006/relationships/table" Target="../tables/table44.xml"/><Relationship Id="rId5" Type="http://schemas.openxmlformats.org/officeDocument/2006/relationships/table" Target="../tables/table38.xml"/><Relationship Id="rId15" Type="http://schemas.openxmlformats.org/officeDocument/2006/relationships/table" Target="../tables/table48.xml"/><Relationship Id="rId10" Type="http://schemas.openxmlformats.org/officeDocument/2006/relationships/table" Target="../tables/table43.xml"/><Relationship Id="rId19" Type="http://schemas.openxmlformats.org/officeDocument/2006/relationships/table" Target="../tables/table52.xml"/><Relationship Id="rId4" Type="http://schemas.openxmlformats.org/officeDocument/2006/relationships/table" Target="../tables/table37.xml"/><Relationship Id="rId9" Type="http://schemas.openxmlformats.org/officeDocument/2006/relationships/table" Target="../tables/table42.xml"/><Relationship Id="rId14" Type="http://schemas.openxmlformats.org/officeDocument/2006/relationships/table" Target="../tables/table47.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9.xml"/><Relationship Id="rId3" Type="http://schemas.openxmlformats.org/officeDocument/2006/relationships/table" Target="../tables/table54.xml"/><Relationship Id="rId7" Type="http://schemas.openxmlformats.org/officeDocument/2006/relationships/table" Target="../tables/table58.xml"/><Relationship Id="rId2" Type="http://schemas.openxmlformats.org/officeDocument/2006/relationships/table" Target="../tables/table53.xml"/><Relationship Id="rId1" Type="http://schemas.openxmlformats.org/officeDocument/2006/relationships/printerSettings" Target="../printerSettings/printerSettings7.bin"/><Relationship Id="rId6" Type="http://schemas.openxmlformats.org/officeDocument/2006/relationships/table" Target="../tables/table57.xml"/><Relationship Id="rId5" Type="http://schemas.openxmlformats.org/officeDocument/2006/relationships/table" Target="../tables/table56.xml"/><Relationship Id="rId4" Type="http://schemas.openxmlformats.org/officeDocument/2006/relationships/table" Target="../tables/table55.xml"/><Relationship Id="rId9" Type="http://schemas.openxmlformats.org/officeDocument/2006/relationships/table" Target="../tables/table60.xml"/></Relationships>
</file>

<file path=xl/worksheets/_rels/sheet8.xml.rels><?xml version="1.0" encoding="UTF-8" standalone="yes"?>
<Relationships xmlns="http://schemas.openxmlformats.org/package/2006/relationships"><Relationship Id="rId8" Type="http://schemas.openxmlformats.org/officeDocument/2006/relationships/table" Target="../tables/table67.xml"/><Relationship Id="rId13" Type="http://schemas.openxmlformats.org/officeDocument/2006/relationships/table" Target="../tables/table72.xml"/><Relationship Id="rId3" Type="http://schemas.openxmlformats.org/officeDocument/2006/relationships/table" Target="../tables/table62.xml"/><Relationship Id="rId7" Type="http://schemas.openxmlformats.org/officeDocument/2006/relationships/table" Target="../tables/table66.xml"/><Relationship Id="rId12" Type="http://schemas.openxmlformats.org/officeDocument/2006/relationships/table" Target="../tables/table71.xml"/><Relationship Id="rId2" Type="http://schemas.openxmlformats.org/officeDocument/2006/relationships/table" Target="../tables/table61.xml"/><Relationship Id="rId1" Type="http://schemas.openxmlformats.org/officeDocument/2006/relationships/printerSettings" Target="../printerSettings/printerSettings8.bin"/><Relationship Id="rId6" Type="http://schemas.openxmlformats.org/officeDocument/2006/relationships/table" Target="../tables/table65.xml"/><Relationship Id="rId11" Type="http://schemas.openxmlformats.org/officeDocument/2006/relationships/table" Target="../tables/table70.xml"/><Relationship Id="rId5" Type="http://schemas.openxmlformats.org/officeDocument/2006/relationships/table" Target="../tables/table64.xml"/><Relationship Id="rId10" Type="http://schemas.openxmlformats.org/officeDocument/2006/relationships/table" Target="../tables/table69.xml"/><Relationship Id="rId4" Type="http://schemas.openxmlformats.org/officeDocument/2006/relationships/table" Target="../tables/table63.xml"/><Relationship Id="rId9" Type="http://schemas.openxmlformats.org/officeDocument/2006/relationships/table" Target="../tables/table68.xml"/></Relationships>
</file>

<file path=xl/worksheets/_rels/sheet9.xml.rels><?xml version="1.0" encoding="UTF-8" standalone="yes"?>
<Relationships xmlns="http://schemas.openxmlformats.org/package/2006/relationships"><Relationship Id="rId8" Type="http://schemas.openxmlformats.org/officeDocument/2006/relationships/table" Target="../tables/table79.xml"/><Relationship Id="rId13" Type="http://schemas.openxmlformats.org/officeDocument/2006/relationships/table" Target="../tables/table84.xml"/><Relationship Id="rId18" Type="http://schemas.openxmlformats.org/officeDocument/2006/relationships/table" Target="../tables/table89.xml"/><Relationship Id="rId26" Type="http://schemas.openxmlformats.org/officeDocument/2006/relationships/table" Target="../tables/table97.xml"/><Relationship Id="rId3" Type="http://schemas.openxmlformats.org/officeDocument/2006/relationships/table" Target="../tables/table74.xml"/><Relationship Id="rId21" Type="http://schemas.openxmlformats.org/officeDocument/2006/relationships/table" Target="../tables/table92.xml"/><Relationship Id="rId7" Type="http://schemas.openxmlformats.org/officeDocument/2006/relationships/table" Target="../tables/table78.xml"/><Relationship Id="rId12" Type="http://schemas.openxmlformats.org/officeDocument/2006/relationships/table" Target="../tables/table83.xml"/><Relationship Id="rId17" Type="http://schemas.openxmlformats.org/officeDocument/2006/relationships/table" Target="../tables/table88.xml"/><Relationship Id="rId25" Type="http://schemas.openxmlformats.org/officeDocument/2006/relationships/table" Target="../tables/table96.xml"/><Relationship Id="rId2" Type="http://schemas.openxmlformats.org/officeDocument/2006/relationships/table" Target="../tables/table73.xml"/><Relationship Id="rId16" Type="http://schemas.openxmlformats.org/officeDocument/2006/relationships/table" Target="../tables/table87.xml"/><Relationship Id="rId20" Type="http://schemas.openxmlformats.org/officeDocument/2006/relationships/table" Target="../tables/table91.xml"/><Relationship Id="rId29" Type="http://schemas.openxmlformats.org/officeDocument/2006/relationships/table" Target="../tables/table100.xml"/><Relationship Id="rId1" Type="http://schemas.openxmlformats.org/officeDocument/2006/relationships/printerSettings" Target="../printerSettings/printerSettings9.bin"/><Relationship Id="rId6" Type="http://schemas.openxmlformats.org/officeDocument/2006/relationships/table" Target="../tables/table77.xml"/><Relationship Id="rId11" Type="http://schemas.openxmlformats.org/officeDocument/2006/relationships/table" Target="../tables/table82.xml"/><Relationship Id="rId24" Type="http://schemas.openxmlformats.org/officeDocument/2006/relationships/table" Target="../tables/table95.xml"/><Relationship Id="rId5" Type="http://schemas.openxmlformats.org/officeDocument/2006/relationships/table" Target="../tables/table76.xml"/><Relationship Id="rId15" Type="http://schemas.openxmlformats.org/officeDocument/2006/relationships/table" Target="../tables/table86.xml"/><Relationship Id="rId23" Type="http://schemas.openxmlformats.org/officeDocument/2006/relationships/table" Target="../tables/table94.xml"/><Relationship Id="rId28" Type="http://schemas.openxmlformats.org/officeDocument/2006/relationships/table" Target="../tables/table99.xml"/><Relationship Id="rId10" Type="http://schemas.openxmlformats.org/officeDocument/2006/relationships/table" Target="../tables/table81.xml"/><Relationship Id="rId19" Type="http://schemas.openxmlformats.org/officeDocument/2006/relationships/table" Target="../tables/table90.xml"/><Relationship Id="rId4" Type="http://schemas.openxmlformats.org/officeDocument/2006/relationships/table" Target="../tables/table75.xml"/><Relationship Id="rId9" Type="http://schemas.openxmlformats.org/officeDocument/2006/relationships/table" Target="../tables/table80.xml"/><Relationship Id="rId14" Type="http://schemas.openxmlformats.org/officeDocument/2006/relationships/table" Target="../tables/table85.xml"/><Relationship Id="rId22" Type="http://schemas.openxmlformats.org/officeDocument/2006/relationships/table" Target="../tables/table93.xml"/><Relationship Id="rId27" Type="http://schemas.openxmlformats.org/officeDocument/2006/relationships/table" Target="../tables/table9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07.xml"/><Relationship Id="rId13" Type="http://schemas.openxmlformats.org/officeDocument/2006/relationships/table" Target="../tables/table112.xml"/><Relationship Id="rId3" Type="http://schemas.openxmlformats.org/officeDocument/2006/relationships/table" Target="../tables/table102.xml"/><Relationship Id="rId7" Type="http://schemas.openxmlformats.org/officeDocument/2006/relationships/table" Target="../tables/table106.xml"/><Relationship Id="rId12" Type="http://schemas.openxmlformats.org/officeDocument/2006/relationships/table" Target="../tables/table111.xml"/><Relationship Id="rId2" Type="http://schemas.openxmlformats.org/officeDocument/2006/relationships/table" Target="../tables/table101.xml"/><Relationship Id="rId1" Type="http://schemas.openxmlformats.org/officeDocument/2006/relationships/printerSettings" Target="../printerSettings/printerSettings10.bin"/><Relationship Id="rId6" Type="http://schemas.openxmlformats.org/officeDocument/2006/relationships/table" Target="../tables/table105.xml"/><Relationship Id="rId11" Type="http://schemas.openxmlformats.org/officeDocument/2006/relationships/table" Target="../tables/table110.xml"/><Relationship Id="rId5" Type="http://schemas.openxmlformats.org/officeDocument/2006/relationships/table" Target="../tables/table104.xml"/><Relationship Id="rId15" Type="http://schemas.openxmlformats.org/officeDocument/2006/relationships/table" Target="../tables/table114.xml"/><Relationship Id="rId10" Type="http://schemas.openxmlformats.org/officeDocument/2006/relationships/table" Target="../tables/table109.xml"/><Relationship Id="rId4" Type="http://schemas.openxmlformats.org/officeDocument/2006/relationships/table" Target="../tables/table103.xml"/><Relationship Id="rId9" Type="http://schemas.openxmlformats.org/officeDocument/2006/relationships/table" Target="../tables/table108.xml"/><Relationship Id="rId14" Type="http://schemas.openxmlformats.org/officeDocument/2006/relationships/table" Target="../tables/table113.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121.xml"/><Relationship Id="rId13" Type="http://schemas.openxmlformats.org/officeDocument/2006/relationships/table" Target="../tables/table126.xml"/><Relationship Id="rId18" Type="http://schemas.openxmlformats.org/officeDocument/2006/relationships/table" Target="../tables/table131.xml"/><Relationship Id="rId26" Type="http://schemas.openxmlformats.org/officeDocument/2006/relationships/table" Target="../tables/table139.xml"/><Relationship Id="rId3" Type="http://schemas.openxmlformats.org/officeDocument/2006/relationships/table" Target="../tables/table116.xml"/><Relationship Id="rId21" Type="http://schemas.openxmlformats.org/officeDocument/2006/relationships/table" Target="../tables/table134.xml"/><Relationship Id="rId7" Type="http://schemas.openxmlformats.org/officeDocument/2006/relationships/table" Target="../tables/table120.xml"/><Relationship Id="rId12" Type="http://schemas.openxmlformats.org/officeDocument/2006/relationships/table" Target="../tables/table125.xml"/><Relationship Id="rId17" Type="http://schemas.openxmlformats.org/officeDocument/2006/relationships/table" Target="../tables/table130.xml"/><Relationship Id="rId25" Type="http://schemas.openxmlformats.org/officeDocument/2006/relationships/table" Target="../tables/table138.xml"/><Relationship Id="rId2" Type="http://schemas.openxmlformats.org/officeDocument/2006/relationships/table" Target="../tables/table115.xml"/><Relationship Id="rId16" Type="http://schemas.openxmlformats.org/officeDocument/2006/relationships/table" Target="../tables/table129.xml"/><Relationship Id="rId20" Type="http://schemas.openxmlformats.org/officeDocument/2006/relationships/table" Target="../tables/table133.xml"/><Relationship Id="rId1" Type="http://schemas.openxmlformats.org/officeDocument/2006/relationships/printerSettings" Target="../printerSettings/printerSettings11.bin"/><Relationship Id="rId6" Type="http://schemas.openxmlformats.org/officeDocument/2006/relationships/table" Target="../tables/table119.xml"/><Relationship Id="rId11" Type="http://schemas.openxmlformats.org/officeDocument/2006/relationships/table" Target="../tables/table124.xml"/><Relationship Id="rId24" Type="http://schemas.openxmlformats.org/officeDocument/2006/relationships/table" Target="../tables/table137.xml"/><Relationship Id="rId5" Type="http://schemas.openxmlformats.org/officeDocument/2006/relationships/table" Target="../tables/table118.xml"/><Relationship Id="rId15" Type="http://schemas.openxmlformats.org/officeDocument/2006/relationships/table" Target="../tables/table128.xml"/><Relationship Id="rId23" Type="http://schemas.openxmlformats.org/officeDocument/2006/relationships/table" Target="../tables/table136.xml"/><Relationship Id="rId10" Type="http://schemas.openxmlformats.org/officeDocument/2006/relationships/table" Target="../tables/table123.xml"/><Relationship Id="rId19" Type="http://schemas.openxmlformats.org/officeDocument/2006/relationships/table" Target="../tables/table132.xml"/><Relationship Id="rId4" Type="http://schemas.openxmlformats.org/officeDocument/2006/relationships/table" Target="../tables/table117.xml"/><Relationship Id="rId9" Type="http://schemas.openxmlformats.org/officeDocument/2006/relationships/table" Target="../tables/table122.xml"/><Relationship Id="rId14" Type="http://schemas.openxmlformats.org/officeDocument/2006/relationships/table" Target="../tables/table127.xml"/><Relationship Id="rId22" Type="http://schemas.openxmlformats.org/officeDocument/2006/relationships/table" Target="../tables/table135.xml"/><Relationship Id="rId27" Type="http://schemas.openxmlformats.org/officeDocument/2006/relationships/table" Target="../tables/table140.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47.xml"/><Relationship Id="rId13" Type="http://schemas.openxmlformats.org/officeDocument/2006/relationships/table" Target="../tables/table152.xml"/><Relationship Id="rId18" Type="http://schemas.openxmlformats.org/officeDocument/2006/relationships/table" Target="../tables/table157.xml"/><Relationship Id="rId3" Type="http://schemas.openxmlformats.org/officeDocument/2006/relationships/table" Target="../tables/table142.xml"/><Relationship Id="rId7" Type="http://schemas.openxmlformats.org/officeDocument/2006/relationships/table" Target="../tables/table146.xml"/><Relationship Id="rId12" Type="http://schemas.openxmlformats.org/officeDocument/2006/relationships/table" Target="../tables/table151.xml"/><Relationship Id="rId17" Type="http://schemas.openxmlformats.org/officeDocument/2006/relationships/table" Target="../tables/table156.xml"/><Relationship Id="rId2" Type="http://schemas.openxmlformats.org/officeDocument/2006/relationships/table" Target="../tables/table141.xml"/><Relationship Id="rId16" Type="http://schemas.openxmlformats.org/officeDocument/2006/relationships/table" Target="../tables/table155.xml"/><Relationship Id="rId1" Type="http://schemas.openxmlformats.org/officeDocument/2006/relationships/printerSettings" Target="../printerSettings/printerSettings12.bin"/><Relationship Id="rId6" Type="http://schemas.openxmlformats.org/officeDocument/2006/relationships/table" Target="../tables/table145.xml"/><Relationship Id="rId11" Type="http://schemas.openxmlformats.org/officeDocument/2006/relationships/table" Target="../tables/table150.xml"/><Relationship Id="rId5" Type="http://schemas.openxmlformats.org/officeDocument/2006/relationships/table" Target="../tables/table144.xml"/><Relationship Id="rId15" Type="http://schemas.openxmlformats.org/officeDocument/2006/relationships/table" Target="../tables/table154.xml"/><Relationship Id="rId10" Type="http://schemas.openxmlformats.org/officeDocument/2006/relationships/table" Target="../tables/table149.xml"/><Relationship Id="rId19" Type="http://schemas.openxmlformats.org/officeDocument/2006/relationships/table" Target="../tables/table158.xml"/><Relationship Id="rId4" Type="http://schemas.openxmlformats.org/officeDocument/2006/relationships/table" Target="../tables/table143.xml"/><Relationship Id="rId9" Type="http://schemas.openxmlformats.org/officeDocument/2006/relationships/table" Target="../tables/table148.xml"/><Relationship Id="rId14" Type="http://schemas.openxmlformats.org/officeDocument/2006/relationships/table" Target="../tables/table15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60.xml"/><Relationship Id="rId2" Type="http://schemas.openxmlformats.org/officeDocument/2006/relationships/table" Target="../tables/table159.xml"/><Relationship Id="rId1" Type="http://schemas.openxmlformats.org/officeDocument/2006/relationships/printerSettings" Target="../printerSettings/printerSettings13.bin"/><Relationship Id="rId5" Type="http://schemas.openxmlformats.org/officeDocument/2006/relationships/table" Target="../tables/table162.xml"/><Relationship Id="rId4" Type="http://schemas.openxmlformats.org/officeDocument/2006/relationships/table" Target="../tables/table16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64.xml"/><Relationship Id="rId2" Type="http://schemas.openxmlformats.org/officeDocument/2006/relationships/table" Target="../tables/table163.xml"/><Relationship Id="rId1" Type="http://schemas.openxmlformats.org/officeDocument/2006/relationships/printerSettings" Target="../printerSettings/printerSettings14.bin"/><Relationship Id="rId5" Type="http://schemas.openxmlformats.org/officeDocument/2006/relationships/table" Target="../tables/table166.xml"/><Relationship Id="rId4" Type="http://schemas.openxmlformats.org/officeDocument/2006/relationships/table" Target="../tables/table165.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173.xml"/><Relationship Id="rId3" Type="http://schemas.openxmlformats.org/officeDocument/2006/relationships/table" Target="../tables/table168.xml"/><Relationship Id="rId7" Type="http://schemas.openxmlformats.org/officeDocument/2006/relationships/table" Target="../tables/table172.xml"/><Relationship Id="rId2" Type="http://schemas.openxmlformats.org/officeDocument/2006/relationships/table" Target="../tables/table167.xml"/><Relationship Id="rId1" Type="http://schemas.openxmlformats.org/officeDocument/2006/relationships/printerSettings" Target="../printerSettings/printerSettings15.bin"/><Relationship Id="rId6" Type="http://schemas.openxmlformats.org/officeDocument/2006/relationships/table" Target="../tables/table171.xml"/><Relationship Id="rId11" Type="http://schemas.openxmlformats.org/officeDocument/2006/relationships/table" Target="../tables/table176.xml"/><Relationship Id="rId5" Type="http://schemas.openxmlformats.org/officeDocument/2006/relationships/table" Target="../tables/table170.xml"/><Relationship Id="rId10" Type="http://schemas.openxmlformats.org/officeDocument/2006/relationships/table" Target="../tables/table175.xml"/><Relationship Id="rId4" Type="http://schemas.openxmlformats.org/officeDocument/2006/relationships/table" Target="../tables/table169.xml"/><Relationship Id="rId9" Type="http://schemas.openxmlformats.org/officeDocument/2006/relationships/table" Target="../tables/table174.xml"/></Relationships>
</file>

<file path=xl/worksheets/_rels/sheet16.xml.rels><?xml version="1.0" encoding="UTF-8" standalone="yes"?>
<Relationships xmlns="http://schemas.openxmlformats.org/package/2006/relationships"><Relationship Id="rId8" Type="http://schemas.openxmlformats.org/officeDocument/2006/relationships/table" Target="../tables/table183.xml"/><Relationship Id="rId13" Type="http://schemas.openxmlformats.org/officeDocument/2006/relationships/table" Target="../tables/table188.xml"/><Relationship Id="rId18" Type="http://schemas.openxmlformats.org/officeDocument/2006/relationships/table" Target="../tables/table193.xml"/><Relationship Id="rId26" Type="http://schemas.openxmlformats.org/officeDocument/2006/relationships/table" Target="../tables/table201.xml"/><Relationship Id="rId3" Type="http://schemas.openxmlformats.org/officeDocument/2006/relationships/table" Target="../tables/table178.xml"/><Relationship Id="rId21" Type="http://schemas.openxmlformats.org/officeDocument/2006/relationships/table" Target="../tables/table196.xml"/><Relationship Id="rId7" Type="http://schemas.openxmlformats.org/officeDocument/2006/relationships/table" Target="../tables/table182.xml"/><Relationship Id="rId12" Type="http://schemas.openxmlformats.org/officeDocument/2006/relationships/table" Target="../tables/table187.xml"/><Relationship Id="rId17" Type="http://schemas.openxmlformats.org/officeDocument/2006/relationships/table" Target="../tables/table192.xml"/><Relationship Id="rId25" Type="http://schemas.openxmlformats.org/officeDocument/2006/relationships/table" Target="../tables/table200.xml"/><Relationship Id="rId2" Type="http://schemas.openxmlformats.org/officeDocument/2006/relationships/table" Target="../tables/table177.xml"/><Relationship Id="rId16" Type="http://schemas.openxmlformats.org/officeDocument/2006/relationships/table" Target="../tables/table191.xml"/><Relationship Id="rId20" Type="http://schemas.openxmlformats.org/officeDocument/2006/relationships/table" Target="../tables/table195.xml"/><Relationship Id="rId1" Type="http://schemas.openxmlformats.org/officeDocument/2006/relationships/printerSettings" Target="../printerSettings/printerSettings16.bin"/><Relationship Id="rId6" Type="http://schemas.openxmlformats.org/officeDocument/2006/relationships/table" Target="../tables/table181.xml"/><Relationship Id="rId11" Type="http://schemas.openxmlformats.org/officeDocument/2006/relationships/table" Target="../tables/table186.xml"/><Relationship Id="rId24" Type="http://schemas.openxmlformats.org/officeDocument/2006/relationships/table" Target="../tables/table199.xml"/><Relationship Id="rId5" Type="http://schemas.openxmlformats.org/officeDocument/2006/relationships/table" Target="../tables/table180.xml"/><Relationship Id="rId15" Type="http://schemas.openxmlformats.org/officeDocument/2006/relationships/table" Target="../tables/table190.xml"/><Relationship Id="rId23" Type="http://schemas.openxmlformats.org/officeDocument/2006/relationships/table" Target="../tables/table198.xml"/><Relationship Id="rId10" Type="http://schemas.openxmlformats.org/officeDocument/2006/relationships/table" Target="../tables/table185.xml"/><Relationship Id="rId19" Type="http://schemas.openxmlformats.org/officeDocument/2006/relationships/table" Target="../tables/table194.xml"/><Relationship Id="rId4" Type="http://schemas.openxmlformats.org/officeDocument/2006/relationships/table" Target="../tables/table179.xml"/><Relationship Id="rId9" Type="http://schemas.openxmlformats.org/officeDocument/2006/relationships/table" Target="../tables/table184.xml"/><Relationship Id="rId14" Type="http://schemas.openxmlformats.org/officeDocument/2006/relationships/table" Target="../tables/table189.xml"/><Relationship Id="rId22" Type="http://schemas.openxmlformats.org/officeDocument/2006/relationships/table" Target="../tables/table197.xml"/><Relationship Id="rId27" Type="http://schemas.openxmlformats.org/officeDocument/2006/relationships/table" Target="../tables/table20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2AED-0716-4AF2-A73F-FC5756F30FE3}">
  <dimension ref="A1:J21"/>
  <sheetViews>
    <sheetView tabSelected="1" topLeftCell="A2" workbookViewId="0">
      <selection activeCell="A2" sqref="A2"/>
    </sheetView>
  </sheetViews>
  <sheetFormatPr defaultRowHeight="15" x14ac:dyDescent="0.25"/>
  <cols>
    <col min="1" max="1" width="9.5703125" bestFit="1" customWidth="1"/>
    <col min="2" max="2" width="5.5703125" bestFit="1" customWidth="1"/>
    <col min="3" max="3" width="3.7109375" bestFit="1" customWidth="1"/>
    <col min="4" max="4" width="5.7109375" style="17" bestFit="1" customWidth="1"/>
    <col min="5" max="8" width="5.140625" bestFit="1" customWidth="1"/>
    <col min="9" max="9" width="7.85546875" bestFit="1" customWidth="1"/>
    <col min="10" max="10" width="1.42578125" style="17" customWidth="1"/>
  </cols>
  <sheetData>
    <row r="1" spans="1:10" ht="18.75" x14ac:dyDescent="0.3">
      <c r="A1" s="202" t="s">
        <v>2</v>
      </c>
      <c r="B1" s="203">
        <v>2</v>
      </c>
      <c r="C1" s="17"/>
      <c r="E1" s="17"/>
      <c r="F1" s="17"/>
      <c r="G1" s="17"/>
      <c r="H1" s="17"/>
      <c r="I1" s="17"/>
    </row>
    <row r="2" spans="1:10" ht="18.75" x14ac:dyDescent="0.3">
      <c r="A2" s="202" t="s">
        <v>4</v>
      </c>
      <c r="B2" s="203">
        <v>4</v>
      </c>
      <c r="C2" s="17"/>
      <c r="E2" s="17"/>
      <c r="F2" s="17"/>
      <c r="G2" s="17"/>
      <c r="H2" s="17"/>
      <c r="I2" s="17"/>
    </row>
    <row r="3" spans="1:10" ht="18.75" x14ac:dyDescent="0.3">
      <c r="A3" s="202" t="s">
        <v>0</v>
      </c>
      <c r="B3" s="203">
        <f>(B1^B2 - 1)/2</f>
        <v>7.5</v>
      </c>
      <c r="C3" s="17"/>
      <c r="E3" s="17"/>
      <c r="F3" s="17"/>
      <c r="G3" s="17"/>
      <c r="H3" s="17"/>
      <c r="I3" s="17"/>
    </row>
    <row r="4" spans="1:10" ht="42" thickBot="1" x14ac:dyDescent="0.3">
      <c r="A4" s="120" t="s">
        <v>25</v>
      </c>
      <c r="B4" s="120" t="s">
        <v>26</v>
      </c>
      <c r="C4" s="120" t="s">
        <v>28</v>
      </c>
      <c r="D4" s="208" t="s">
        <v>27</v>
      </c>
      <c r="E4" s="121" t="s">
        <v>10</v>
      </c>
      <c r="F4" s="121" t="s">
        <v>9</v>
      </c>
      <c r="G4" s="121" t="s">
        <v>8</v>
      </c>
      <c r="H4" s="121" t="s">
        <v>7</v>
      </c>
      <c r="I4" s="17"/>
    </row>
    <row r="5" spans="1:10" ht="15.75" thickTop="1" x14ac:dyDescent="0.25">
      <c r="A5" s="139">
        <v>0</v>
      </c>
      <c r="B5" s="139">
        <f>ROUNDUP(t_B2n4_Fixed_Intro[[#This Row],[Row]]-$B$3,0)</f>
        <v>-8</v>
      </c>
      <c r="C5" s="12"/>
      <c r="D5" s="139">
        <v>0</v>
      </c>
      <c r="E5" s="20">
        <f>MOD(INT(t_B2n4_Intro[[#This Row],[x]]/$B$1^INT(RIGHT(t_B2n4_Intro[[#Headers],[b3]],1))),$B$1)</f>
        <v>0</v>
      </c>
      <c r="F5" s="20">
        <f>MOD(INT(t_B2n4_Intro[[#This Row],[x]]/$B$1^INT(RIGHT(t_B2n4_Intro[[#Headers],[b2]],1))),$B$1)</f>
        <v>0</v>
      </c>
      <c r="G5" s="20">
        <f>MOD(INT(t_B2n4_Intro[[#This Row],[x]]/$B$1^INT(RIGHT(t_B2n4_Intro[[#Headers],[b1]],1))),$B$1)</f>
        <v>0</v>
      </c>
      <c r="H5" s="20">
        <f>MOD(INT(t_B2n4_Intro[[#This Row],[x]]/$B$1^INT(RIGHT(t_B2n4_Intro[[#Headers],[b0]],1))),$B$1)</f>
        <v>0</v>
      </c>
      <c r="I5" s="17"/>
    </row>
    <row r="6" spans="1:10" x14ac:dyDescent="0.25">
      <c r="A6" s="139">
        <v>1</v>
      </c>
      <c r="B6" s="139">
        <f>ROUNDUP(t_B2n4_Fixed_Intro[[#This Row],[Row]]-$B$3,0)</f>
        <v>-7</v>
      </c>
      <c r="C6" s="12">
        <f>t_B2n4_Intro[[#This Row],[x]]-D5</f>
        <v>1</v>
      </c>
      <c r="D6" s="139">
        <v>1</v>
      </c>
      <c r="E6" s="43">
        <f>MOD(INT(t_B2n4_Intro[[#This Row],[x]]/$B$1^INT(RIGHT(t_B2n4_Intro[[#Headers],[b3]],1))),$B$1)</f>
        <v>0</v>
      </c>
      <c r="F6" s="43">
        <f>MOD(INT(t_B2n4_Intro[[#This Row],[x]]/$B$1^INT(RIGHT(t_B2n4_Intro[[#Headers],[b2]],1))),$B$1)</f>
        <v>0</v>
      </c>
      <c r="G6" s="43">
        <f>MOD(INT(t_B2n4_Intro[[#This Row],[x]]/$B$1^INT(RIGHT(t_B2n4_Intro[[#Headers],[b1]],1))),$B$1)</f>
        <v>0</v>
      </c>
      <c r="H6" s="43">
        <f>MOD(INT(t_B2n4_Intro[[#This Row],[x]]/$B$1^INT(RIGHT(t_B2n4_Intro[[#Headers],[b0]],1))),$B$1)</f>
        <v>1</v>
      </c>
      <c r="I6" s="17"/>
    </row>
    <row r="7" spans="1:10" x14ac:dyDescent="0.25">
      <c r="A7" s="139">
        <v>2</v>
      </c>
      <c r="B7" s="139">
        <f>ROUNDUP(t_B2n4_Fixed_Intro[[#This Row],[Row]]-$B$3,0)</f>
        <v>-6</v>
      </c>
      <c r="C7" s="12">
        <f>t_B2n4_Intro[[#This Row],[x]]-D6</f>
        <v>1</v>
      </c>
      <c r="D7" s="139">
        <v>2</v>
      </c>
      <c r="E7" s="43">
        <f>MOD(INT(t_B2n4_Intro[[#This Row],[x]]/$B$1^INT(RIGHT(t_B2n4_Intro[[#Headers],[b3]],1))),$B$1)</f>
        <v>0</v>
      </c>
      <c r="F7" s="43">
        <f>MOD(INT(t_B2n4_Intro[[#This Row],[x]]/$B$1^INT(RIGHT(t_B2n4_Intro[[#Headers],[b2]],1))),$B$1)</f>
        <v>0</v>
      </c>
      <c r="G7" s="43">
        <f>MOD(INT(t_B2n4_Intro[[#This Row],[x]]/$B$1^INT(RIGHT(t_B2n4_Intro[[#Headers],[b1]],1))),$B$1)</f>
        <v>1</v>
      </c>
      <c r="H7" s="43">
        <f>MOD(INT(t_B2n4_Intro[[#This Row],[x]]/$B$1^INT(RIGHT(t_B2n4_Intro[[#Headers],[b0]],1))),$B$1)</f>
        <v>0</v>
      </c>
      <c r="I7" s="17"/>
    </row>
    <row r="8" spans="1:10" x14ac:dyDescent="0.25">
      <c r="A8" s="139">
        <v>3</v>
      </c>
      <c r="B8" s="139">
        <f>ROUNDUP(t_B2n4_Fixed_Intro[[#This Row],[Row]]-$B$3,0)</f>
        <v>-5</v>
      </c>
      <c r="C8" s="12">
        <f>t_B2n4_Intro[[#This Row],[x]]-D7</f>
        <v>1</v>
      </c>
      <c r="D8" s="139">
        <v>3</v>
      </c>
      <c r="E8" s="45">
        <f>MOD(INT(t_B2n4_Intro[[#This Row],[x]]/$B$1^INT(RIGHT(t_B2n4_Intro[[#Headers],[b3]],1))),$B$1)</f>
        <v>0</v>
      </c>
      <c r="F8" s="45">
        <f>MOD(INT(t_B2n4_Intro[[#This Row],[x]]/$B$1^INT(RIGHT(t_B2n4_Intro[[#Headers],[b2]],1))),$B$1)</f>
        <v>0</v>
      </c>
      <c r="G8" s="45">
        <f>MOD(INT(t_B2n4_Intro[[#This Row],[x]]/$B$1^INT(RIGHT(t_B2n4_Intro[[#Headers],[b1]],1))),$B$1)</f>
        <v>1</v>
      </c>
      <c r="H8" s="45">
        <f>MOD(INT(t_B2n4_Intro[[#This Row],[x]]/$B$1^INT(RIGHT(t_B2n4_Intro[[#Headers],[b0]],1))),$B$1)</f>
        <v>1</v>
      </c>
      <c r="I8" s="17"/>
    </row>
    <row r="9" spans="1:10" x14ac:dyDescent="0.25">
      <c r="A9" s="139">
        <v>4</v>
      </c>
      <c r="B9" s="139">
        <f>ROUNDUP(t_B2n4_Fixed_Intro[[#This Row],[Row]]-$B$3,0)</f>
        <v>-4</v>
      </c>
      <c r="C9" s="12">
        <f>t_B2n4_Intro[[#This Row],[x]]-D8</f>
        <v>5</v>
      </c>
      <c r="D9" s="139">
        <v>8</v>
      </c>
      <c r="E9" s="43">
        <f>MOD(INT(t_B2n4_Intro[[#This Row],[x]]/$B$1^INT(RIGHT(t_B2n4_Intro[[#Headers],[b3]],1))),$B$1)</f>
        <v>1</v>
      </c>
      <c r="F9" s="43">
        <f>MOD(INT(t_B2n4_Intro[[#This Row],[x]]/$B$1^INT(RIGHT(t_B2n4_Intro[[#Headers],[b2]],1))),$B$1)</f>
        <v>0</v>
      </c>
      <c r="G9" s="43">
        <f>MOD(INT(t_B2n4_Intro[[#This Row],[x]]/$B$1^INT(RIGHT(t_B2n4_Intro[[#Headers],[b1]],1))),$B$1)</f>
        <v>0</v>
      </c>
      <c r="H9" s="43">
        <f>MOD(INT(t_B2n4_Intro[[#This Row],[x]]/$B$1^INT(RIGHT(t_B2n4_Intro[[#Headers],[b0]],1))),$B$1)</f>
        <v>0</v>
      </c>
      <c r="I9" s="17"/>
    </row>
    <row r="10" spans="1:10" x14ac:dyDescent="0.25">
      <c r="A10" s="139">
        <v>5</v>
      </c>
      <c r="B10" s="139">
        <f>ROUNDUP(t_B2n4_Fixed_Intro[[#This Row],[Row]]-$B$3,0)</f>
        <v>-3</v>
      </c>
      <c r="C10" s="12">
        <f>t_B2n4_Intro[[#This Row],[x]]-D9</f>
        <v>1</v>
      </c>
      <c r="D10" s="139">
        <v>9</v>
      </c>
      <c r="E10" s="45">
        <f>MOD(INT(t_B2n4_Intro[[#This Row],[x]]/$B$1^INT(RIGHT(t_B2n4_Intro[[#Headers],[b3]],1))),$B$1)</f>
        <v>1</v>
      </c>
      <c r="F10" s="45">
        <f>MOD(INT(t_B2n4_Intro[[#This Row],[x]]/$B$1^INT(RIGHT(t_B2n4_Intro[[#Headers],[b2]],1))),$B$1)</f>
        <v>0</v>
      </c>
      <c r="G10" s="45">
        <f>MOD(INT(t_B2n4_Intro[[#This Row],[x]]/$B$1^INT(RIGHT(t_B2n4_Intro[[#Headers],[b1]],1))),$B$1)</f>
        <v>0</v>
      </c>
      <c r="H10" s="45">
        <f>MOD(INT(t_B2n4_Intro[[#This Row],[x]]/$B$1^INT(RIGHT(t_B2n4_Intro[[#Headers],[b0]],1))),$B$1)</f>
        <v>1</v>
      </c>
      <c r="I10" s="17"/>
    </row>
    <row r="11" spans="1:10" x14ac:dyDescent="0.25">
      <c r="A11" s="139">
        <v>6</v>
      </c>
      <c r="B11" s="139">
        <f>ROUNDUP(t_B2n4_Fixed_Intro[[#This Row],[Row]]-$B$3,0)</f>
        <v>-2</v>
      </c>
      <c r="C11" s="12">
        <f>t_B2n4_Intro[[#This Row],[x]]-D10</f>
        <v>1</v>
      </c>
      <c r="D11" s="139">
        <v>10</v>
      </c>
      <c r="E11" s="167">
        <f>MOD(INT(t_B2n4_Intro[[#This Row],[x]]/$B$1^INT(RIGHT(t_B2n4_Intro[[#Headers],[b3]],1))),$B$1)</f>
        <v>1</v>
      </c>
      <c r="F11" s="167">
        <f>MOD(INT(t_B2n4_Intro[[#This Row],[x]]/$B$1^INT(RIGHT(t_B2n4_Intro[[#Headers],[b2]],1))),$B$1)</f>
        <v>0</v>
      </c>
      <c r="G11" s="167">
        <f>MOD(INT(t_B2n4_Intro[[#This Row],[x]]/$B$1^INT(RIGHT(t_B2n4_Intro[[#Headers],[b1]],1))),$B$1)</f>
        <v>1</v>
      </c>
      <c r="H11" s="167">
        <f>MOD(INT(t_B2n4_Intro[[#This Row],[x]]/$B$1^INT(RIGHT(t_B2n4_Intro[[#Headers],[b0]],1))),$B$1)</f>
        <v>0</v>
      </c>
      <c r="I11" s="17"/>
    </row>
    <row r="12" spans="1:10" ht="15.75" thickBot="1" x14ac:dyDescent="0.3">
      <c r="A12" s="6">
        <v>7</v>
      </c>
      <c r="B12" s="6">
        <f>ROUNDUP(t_B2n4_Fixed_Intro[[#This Row],[Row]]-$B$3,0)</f>
        <v>-1</v>
      </c>
      <c r="C12" s="7">
        <f>t_B2n4_Intro[[#This Row],[x]]-D11</f>
        <v>1</v>
      </c>
      <c r="D12" s="6">
        <v>11</v>
      </c>
      <c r="E12" s="166">
        <f>MOD(INT(t_B2n4_Intro[[#This Row],[x]]/$B$1^INT(RIGHT(t_B2n4_Intro[[#Headers],[b3]],1))),$B$1)</f>
        <v>1</v>
      </c>
      <c r="F12" s="166">
        <f>MOD(INT(t_B2n4_Intro[[#This Row],[x]]/$B$1^INT(RIGHT(t_B2n4_Intro[[#Headers],[b2]],1))),$B$1)</f>
        <v>0</v>
      </c>
      <c r="G12" s="166">
        <f>MOD(INT(t_B2n4_Intro[[#This Row],[x]]/$B$1^INT(RIGHT(t_B2n4_Intro[[#Headers],[b1]],1))),$B$1)</f>
        <v>1</v>
      </c>
      <c r="H12" s="166">
        <f>MOD(INT(t_B2n4_Intro[[#This Row],[x]]/$B$1^INT(RIGHT(t_B2n4_Intro[[#Headers],[b0]],1))),$B$1)</f>
        <v>1</v>
      </c>
      <c r="I12" s="27" t="s">
        <v>0</v>
      </c>
      <c r="J12" s="377"/>
    </row>
    <row r="13" spans="1:10" x14ac:dyDescent="0.25">
      <c r="A13" s="139">
        <v>8</v>
      </c>
      <c r="B13" s="139">
        <f>ROUNDUP(t_B2n4_Fixed_Intro[[#This Row],[Row]]-$B$3,0)</f>
        <v>1</v>
      </c>
      <c r="C13" s="12">
        <f>t_B2n4_Intro[[#This Row],[x]]-D12</f>
        <v>-7</v>
      </c>
      <c r="D13" s="139">
        <v>4</v>
      </c>
      <c r="E13" s="43">
        <f>MOD(INT(t_B2n4_Intro[[#This Row],[x]]/$B$1^INT(RIGHT(t_B2n4_Intro[[#Headers],[b3]],1))),$B$1)</f>
        <v>0</v>
      </c>
      <c r="F13" s="43">
        <f>MOD(INT(t_B2n4_Intro[[#This Row],[x]]/$B$1^INT(RIGHT(t_B2n4_Intro[[#Headers],[b2]],1))),$B$1)</f>
        <v>1</v>
      </c>
      <c r="G13" s="43">
        <f>MOD(INT(t_B2n4_Intro[[#This Row],[x]]/$B$1^INT(RIGHT(t_B2n4_Intro[[#Headers],[b1]],1))),$B$1)</f>
        <v>0</v>
      </c>
      <c r="H13" s="43">
        <f>MOD(INT(t_B2n4_Intro[[#This Row],[x]]/$B$1^INT(RIGHT(t_B2n4_Intro[[#Headers],[b0]],1))),$B$1)</f>
        <v>0</v>
      </c>
      <c r="I13" s="17"/>
    </row>
    <row r="14" spans="1:10" x14ac:dyDescent="0.25">
      <c r="A14" s="139">
        <v>9</v>
      </c>
      <c r="B14" s="139">
        <f>ROUNDUP(t_B2n4_Fixed_Intro[[#This Row],[Row]]-$B$3,0)</f>
        <v>2</v>
      </c>
      <c r="C14" s="12">
        <f>t_B2n4_Intro[[#This Row],[x]]-D13</f>
        <v>1</v>
      </c>
      <c r="D14" s="139">
        <v>5</v>
      </c>
      <c r="E14" s="167">
        <f>MOD(INT(t_B2n4_Intro[[#This Row],[x]]/$B$1^INT(RIGHT(t_B2n4_Intro[[#Headers],[b3]],1))),$B$1)</f>
        <v>0</v>
      </c>
      <c r="F14" s="167">
        <f>MOD(INT(t_B2n4_Intro[[#This Row],[x]]/$B$1^INT(RIGHT(t_B2n4_Intro[[#Headers],[b2]],1))),$B$1)</f>
        <v>1</v>
      </c>
      <c r="G14" s="167">
        <f>MOD(INT(t_B2n4_Intro[[#This Row],[x]]/$B$1^INT(RIGHT(t_B2n4_Intro[[#Headers],[b1]],1))),$B$1)</f>
        <v>0</v>
      </c>
      <c r="H14" s="167">
        <f>MOD(INT(t_B2n4_Intro[[#This Row],[x]]/$B$1^INT(RIGHT(t_B2n4_Intro[[#Headers],[b0]],1))),$B$1)</f>
        <v>1</v>
      </c>
      <c r="I14" s="17"/>
    </row>
    <row r="15" spans="1:10" x14ac:dyDescent="0.25">
      <c r="A15" s="139">
        <v>10</v>
      </c>
      <c r="B15" s="139">
        <f>ROUNDUP(t_B2n4_Fixed_Intro[[#This Row],[Row]]-$B$3,0)</f>
        <v>3</v>
      </c>
      <c r="C15" s="12">
        <f>t_B2n4_Intro[[#This Row],[x]]-D14</f>
        <v>1</v>
      </c>
      <c r="D15" s="139">
        <v>6</v>
      </c>
      <c r="E15" s="45">
        <f>MOD(INT(t_B2n4_Intro[[#This Row],[x]]/$B$1^INT(RIGHT(t_B2n4_Intro[[#Headers],[b3]],1))),$B$1)</f>
        <v>0</v>
      </c>
      <c r="F15" s="45">
        <f>MOD(INT(t_B2n4_Intro[[#This Row],[x]]/$B$1^INT(RIGHT(t_B2n4_Intro[[#Headers],[b2]],1))),$B$1)</f>
        <v>1</v>
      </c>
      <c r="G15" s="45">
        <f>MOD(INT(t_B2n4_Intro[[#This Row],[x]]/$B$1^INT(RIGHT(t_B2n4_Intro[[#Headers],[b1]],1))),$B$1)</f>
        <v>1</v>
      </c>
      <c r="H15" s="45">
        <f>MOD(INT(t_B2n4_Intro[[#This Row],[x]]/$B$1^INT(RIGHT(t_B2n4_Intro[[#Headers],[b0]],1))),$B$1)</f>
        <v>0</v>
      </c>
      <c r="I15" s="17"/>
    </row>
    <row r="16" spans="1:10" x14ac:dyDescent="0.25">
      <c r="A16" s="139">
        <v>11</v>
      </c>
      <c r="B16" s="139">
        <f>ROUNDUP(t_B2n4_Fixed_Intro[[#This Row],[Row]]-$B$3,0)</f>
        <v>4</v>
      </c>
      <c r="C16" s="12">
        <f>t_B2n4_Intro[[#This Row],[x]]-D15</f>
        <v>1</v>
      </c>
      <c r="D16" s="139">
        <v>7</v>
      </c>
      <c r="E16" s="55">
        <f>MOD(INT(t_B2n4_Intro[[#This Row],[x]]/$B$1^INT(RIGHT(t_B2n4_Intro[[#Headers],[b3]],1))),$B$1)</f>
        <v>0</v>
      </c>
      <c r="F16" s="55">
        <f>MOD(INT(t_B2n4_Intro[[#This Row],[x]]/$B$1^INT(RIGHT(t_B2n4_Intro[[#Headers],[b2]],1))),$B$1)</f>
        <v>1</v>
      </c>
      <c r="G16" s="55">
        <f>MOD(INT(t_B2n4_Intro[[#This Row],[x]]/$B$1^INT(RIGHT(t_B2n4_Intro[[#Headers],[b1]],1))),$B$1)</f>
        <v>1</v>
      </c>
      <c r="H16" s="55">
        <f>MOD(INT(t_B2n4_Intro[[#This Row],[x]]/$B$1^INT(RIGHT(t_B2n4_Intro[[#Headers],[b0]],1))),$B$1)</f>
        <v>1</v>
      </c>
      <c r="I16" s="17"/>
    </row>
    <row r="17" spans="1:9" x14ac:dyDescent="0.25">
      <c r="A17" s="139">
        <v>12</v>
      </c>
      <c r="B17" s="139">
        <f>ROUNDUP(t_B2n4_Fixed_Intro[[#This Row],[Row]]-$B$3,0)</f>
        <v>5</v>
      </c>
      <c r="C17" s="12">
        <f>t_B2n4_Intro[[#This Row],[x]]-D16</f>
        <v>5</v>
      </c>
      <c r="D17" s="139">
        <v>12</v>
      </c>
      <c r="E17" s="45">
        <f>MOD(INT(t_B2n4_Intro[[#This Row],[x]]/$B$1^INT(RIGHT(t_B2n4_Intro[[#Headers],[b3]],1))),$B$1)</f>
        <v>1</v>
      </c>
      <c r="F17" s="45">
        <f>MOD(INT(t_B2n4_Intro[[#This Row],[x]]/$B$1^INT(RIGHT(t_B2n4_Intro[[#Headers],[b2]],1))),$B$1)</f>
        <v>1</v>
      </c>
      <c r="G17" s="45">
        <f>MOD(INT(t_B2n4_Intro[[#This Row],[x]]/$B$1^INT(RIGHT(t_B2n4_Intro[[#Headers],[b1]],1))),$B$1)</f>
        <v>0</v>
      </c>
      <c r="H17" s="45">
        <f>MOD(INT(t_B2n4_Intro[[#This Row],[x]]/$B$1^INT(RIGHT(t_B2n4_Intro[[#Headers],[b0]],1))),$B$1)</f>
        <v>0</v>
      </c>
      <c r="I17" s="17"/>
    </row>
    <row r="18" spans="1:9" x14ac:dyDescent="0.25">
      <c r="A18" s="139">
        <v>13</v>
      </c>
      <c r="B18" s="139">
        <f>ROUNDUP(t_B2n4_Fixed_Intro[[#This Row],[Row]]-$B$3,0)</f>
        <v>6</v>
      </c>
      <c r="C18" s="12">
        <f>t_B2n4_Intro[[#This Row],[x]]-D17</f>
        <v>1</v>
      </c>
      <c r="D18" s="139">
        <v>13</v>
      </c>
      <c r="E18" s="55">
        <f>MOD(INT(t_B2n4_Intro[[#This Row],[x]]/$B$1^INT(RIGHT(t_B2n4_Intro[[#Headers],[b3]],1))),$B$1)</f>
        <v>1</v>
      </c>
      <c r="F18" s="55">
        <f>MOD(INT(t_B2n4_Intro[[#This Row],[x]]/$B$1^INT(RIGHT(t_B2n4_Intro[[#Headers],[b2]],1))),$B$1)</f>
        <v>1</v>
      </c>
      <c r="G18" s="55">
        <f>MOD(INT(t_B2n4_Intro[[#This Row],[x]]/$B$1^INT(RIGHT(t_B2n4_Intro[[#Headers],[b1]],1))),$B$1)</f>
        <v>0</v>
      </c>
      <c r="H18" s="55">
        <f>MOD(INT(t_B2n4_Intro[[#This Row],[x]]/$B$1^INT(RIGHT(t_B2n4_Intro[[#Headers],[b0]],1))),$B$1)</f>
        <v>1</v>
      </c>
      <c r="I18" s="17"/>
    </row>
    <row r="19" spans="1:9" x14ac:dyDescent="0.25">
      <c r="A19" s="139">
        <v>14</v>
      </c>
      <c r="B19" s="139">
        <f>ROUNDUP(t_B2n4_Fixed_Intro[[#This Row],[Row]]-$B$3,0)</f>
        <v>7</v>
      </c>
      <c r="C19" s="12">
        <f>t_B2n4_Intro[[#This Row],[x]]-D18</f>
        <v>1</v>
      </c>
      <c r="D19" s="139">
        <v>14</v>
      </c>
      <c r="E19" s="55">
        <f>MOD(INT(t_B2n4_Intro[[#This Row],[x]]/$B$1^INT(RIGHT(t_B2n4_Intro[[#Headers],[b3]],1))),$B$1)</f>
        <v>1</v>
      </c>
      <c r="F19" s="55">
        <f>MOD(INT(t_B2n4_Intro[[#This Row],[x]]/$B$1^INT(RIGHT(t_B2n4_Intro[[#Headers],[b2]],1))),$B$1)</f>
        <v>1</v>
      </c>
      <c r="G19" s="55">
        <f>MOD(INT(t_B2n4_Intro[[#This Row],[x]]/$B$1^INT(RIGHT(t_B2n4_Intro[[#Headers],[b1]],1))),$B$1)</f>
        <v>1</v>
      </c>
      <c r="H19" s="55">
        <f>MOD(INT(t_B2n4_Intro[[#This Row],[x]]/$B$1^INT(RIGHT(t_B2n4_Intro[[#Headers],[b0]],1))),$B$1)</f>
        <v>0</v>
      </c>
      <c r="I19" s="17"/>
    </row>
    <row r="20" spans="1:9" x14ac:dyDescent="0.25">
      <c r="A20" s="139">
        <v>15</v>
      </c>
      <c r="B20" s="139">
        <f>ROUNDUP(t_B2n4_Fixed_Intro[[#This Row],[Row]]-$B$3,0)</f>
        <v>8</v>
      </c>
      <c r="C20" s="12">
        <f>t_B2n4_Intro[[#This Row],[x]]-D19</f>
        <v>1</v>
      </c>
      <c r="D20" s="139">
        <v>15</v>
      </c>
      <c r="E20" s="76">
        <f>MOD(INT(t_B2n4_Intro[[#This Row],[x]]/$B$1^INT(RIGHT(t_B2n4_Intro[[#Headers],[b3]],1))),$B$1)</f>
        <v>1</v>
      </c>
      <c r="F20" s="76">
        <f>MOD(INT(t_B2n4_Intro[[#This Row],[x]]/$B$1^INT(RIGHT(t_B2n4_Intro[[#Headers],[b2]],1))),$B$1)</f>
        <v>1</v>
      </c>
      <c r="G20" s="76">
        <f>MOD(INT(t_B2n4_Intro[[#This Row],[x]]/$B$1^INT(RIGHT(t_B2n4_Intro[[#Headers],[b1]],1))),$B$1)</f>
        <v>1</v>
      </c>
      <c r="H20" s="76">
        <f>MOD(INT(t_B2n4_Intro[[#This Row],[x]]/$B$1^INT(RIGHT(t_B2n4_Intro[[#Headers],[b0]],1))),$B$1)</f>
        <v>1</v>
      </c>
      <c r="I20" s="17"/>
    </row>
    <row r="21" spans="1:9" x14ac:dyDescent="0.25">
      <c r="A21" s="197" t="s">
        <v>1</v>
      </c>
      <c r="B21" s="139"/>
      <c r="C21">
        <f>SUBTOTAL(109,t_B2n4_Fixed_Intro[Interval])</f>
        <v>15</v>
      </c>
      <c r="D21" s="17" t="s">
        <v>1</v>
      </c>
      <c r="E21" s="17">
        <f>SUBTOTAL(109,t_B2n4_Intro[b3])</f>
        <v>8</v>
      </c>
      <c r="F21" s="17">
        <f>SUBTOTAL(109,t_B2n4_Intro[b2])</f>
        <v>8</v>
      </c>
      <c r="G21" s="17">
        <f>SUBTOTAL(109,t_B2n4_Intro[b1])</f>
        <v>8</v>
      </c>
      <c r="H21" s="17">
        <f>SUBTOTAL(109,t_B2n4_Intro[b0])</f>
        <v>8</v>
      </c>
      <c r="I21" s="17"/>
    </row>
  </sheetData>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C35"/>
  <sheetViews>
    <sheetView workbookViewId="0">
      <pane ySplit="4" topLeftCell="A5" activePane="bottomLeft" state="frozen"/>
      <selection pane="bottomLeft"/>
    </sheetView>
  </sheetViews>
  <sheetFormatPr defaultRowHeight="15" x14ac:dyDescent="0.25"/>
  <cols>
    <col min="1" max="1" width="9.5703125" bestFit="1" customWidth="1"/>
    <col min="2" max="2" width="5.5703125" bestFit="1" customWidth="1"/>
    <col min="3" max="3" width="3.7109375" bestFit="1" customWidth="1"/>
    <col min="4" max="4" width="5.7109375" bestFit="1" customWidth="1"/>
    <col min="5" max="6" width="5.140625" bestFit="1" customWidth="1"/>
    <col min="7" max="7" width="8.85546875" bestFit="1" customWidth="1"/>
    <col min="8" max="8" width="7.85546875" bestFit="1" customWidth="1"/>
    <col min="9" max="9" width="7.85546875" customWidth="1"/>
    <col min="10" max="10" width="27.7109375" bestFit="1" customWidth="1"/>
    <col min="11" max="11" width="4.140625" bestFit="1" customWidth="1"/>
    <col min="12" max="12" width="2" bestFit="1" customWidth="1"/>
    <col min="13" max="14" width="3.85546875" bestFit="1" customWidth="1"/>
    <col min="15" max="15" width="2.5703125" bestFit="1" customWidth="1"/>
    <col min="17" max="17" width="3.7109375" bestFit="1" customWidth="1"/>
    <col min="18" max="18" width="6" bestFit="1" customWidth="1"/>
    <col min="19" max="19" width="4.85546875" bestFit="1" customWidth="1"/>
    <col min="20" max="20" width="7.7109375" bestFit="1" customWidth="1"/>
    <col min="21" max="21" width="7.85546875" style="17" bestFit="1" customWidth="1"/>
    <col min="23" max="23" width="3.7109375" bestFit="1" customWidth="1"/>
    <col min="24" max="24" width="6" bestFit="1" customWidth="1"/>
    <col min="25" max="25" width="4.85546875" bestFit="1" customWidth="1"/>
    <col min="26" max="26" width="7.7109375" bestFit="1" customWidth="1"/>
    <col min="27" max="27" width="7.85546875" style="17" bestFit="1" customWidth="1"/>
  </cols>
  <sheetData>
    <row r="1" spans="1:29" s="17" customFormat="1" ht="18.75" x14ac:dyDescent="0.3">
      <c r="A1" s="202" t="s">
        <v>2</v>
      </c>
      <c r="B1" s="203">
        <v>2</v>
      </c>
    </row>
    <row r="2" spans="1:29" s="17" customFormat="1" ht="18.75" x14ac:dyDescent="0.3">
      <c r="A2" s="202" t="s">
        <v>4</v>
      </c>
      <c r="B2" s="203">
        <v>2</v>
      </c>
    </row>
    <row r="3" spans="1:29" ht="18.75" x14ac:dyDescent="0.3">
      <c r="A3" s="202" t="s">
        <v>0</v>
      </c>
      <c r="B3" s="203">
        <f>(B1^B2 - 1)/2</f>
        <v>1.5</v>
      </c>
    </row>
    <row r="4" spans="1:29" ht="64.5" thickBot="1" x14ac:dyDescent="0.3">
      <c r="A4" s="120" t="s">
        <v>25</v>
      </c>
      <c r="B4" s="120" t="s">
        <v>26</v>
      </c>
      <c r="C4" s="120" t="s">
        <v>28</v>
      </c>
      <c r="D4" s="208" t="s">
        <v>27</v>
      </c>
      <c r="E4" s="121" t="s">
        <v>8</v>
      </c>
      <c r="F4" s="121" t="s">
        <v>7</v>
      </c>
      <c r="G4" s="122" t="s">
        <v>29</v>
      </c>
      <c r="Q4" s="120" t="s">
        <v>28</v>
      </c>
      <c r="R4" s="120" t="s">
        <v>26</v>
      </c>
      <c r="S4" s="254" t="s">
        <v>539</v>
      </c>
      <c r="T4" s="120" t="s">
        <v>537</v>
      </c>
      <c r="W4" s="120" t="s">
        <v>28</v>
      </c>
      <c r="X4" s="120" t="s">
        <v>26</v>
      </c>
      <c r="Y4" s="254" t="s">
        <v>539</v>
      </c>
      <c r="Z4" s="120" t="s">
        <v>537</v>
      </c>
    </row>
    <row r="5" spans="1:29" ht="16.5" thickTop="1" thickBot="1" x14ac:dyDescent="0.3">
      <c r="A5" s="139">
        <v>0</v>
      </c>
      <c r="B5" s="139">
        <f>ROUNDUP(t_B2n2_Fixed[[#This Row],[Row]]-$B$3,0)</f>
        <v>-2</v>
      </c>
      <c r="C5" s="12"/>
      <c r="D5" s="9">
        <v>0</v>
      </c>
      <c r="E5" s="20">
        <f>MOD(INT(t_B2n2[[#This Row],[x]]/$B$1^INT(RIGHT(t_B2n2[[#Headers],[b1]],1))),$B$1)</f>
        <v>0</v>
      </c>
      <c r="F5" s="20">
        <f>MOD(INT(t_B2n2[[#This Row],[x]]/$B$1^INT(RIGHT(t_B2n2[[#Headers],[b0]],1))),$B$1)</f>
        <v>0</v>
      </c>
      <c r="G5" s="12" t="str">
        <f t="array" ref="G5">IF(SUM(IF(COUNTIF(t_B2n2[[#This Row],[b1]:[b0]],t_B2n2[[#This Row],[b1]:[b0]])=1,1,0))=$B$1,"←Perm","")</f>
        <v/>
      </c>
      <c r="Q5" s="139"/>
      <c r="R5" s="6">
        <f>INDEX(t_B2n2_Fixed[Offset],MATCH($A$5,t_B2n2[x],0),1)</f>
        <v>-2</v>
      </c>
      <c r="S5" s="6">
        <v>0</v>
      </c>
      <c r="T5" s="301" t="s">
        <v>30</v>
      </c>
      <c r="U5" s="27" t="s">
        <v>0</v>
      </c>
      <c r="W5" s="139"/>
      <c r="X5" s="6">
        <f>INDEX(t_B2n2_Fixed[Offset],MATCH($A$6,t_B2n2[x],0),1)</f>
        <v>-1</v>
      </c>
      <c r="Y5" s="6">
        <v>1</v>
      </c>
      <c r="Z5" s="295" t="s">
        <v>32</v>
      </c>
      <c r="AA5" s="27" t="s">
        <v>0</v>
      </c>
    </row>
    <row r="6" spans="1:29" ht="15.75" thickBot="1" x14ac:dyDescent="0.3">
      <c r="A6" s="6">
        <v>1</v>
      </c>
      <c r="B6" s="6">
        <f>ROUNDUP(t_B2n2_Fixed[[#This Row],[Row]]-$B$3,0)</f>
        <v>-1</v>
      </c>
      <c r="C6" s="7">
        <f>t_B2n2[[#This Row],[x]]-D5</f>
        <v>1</v>
      </c>
      <c r="D6" s="6">
        <v>1</v>
      </c>
      <c r="E6" s="118">
        <f>MOD(INT(t_B2n2[[#This Row],[x]]/$B$1^INT(RIGHT(t_B2n2[[#Headers],[b1]],1))),$B$1)</f>
        <v>0</v>
      </c>
      <c r="F6" s="118">
        <f>MOD(INT(t_B2n2[[#This Row],[x]]/$B$1^INT(RIGHT(t_B2n2[[#Headers],[b0]],1))),$B$1)</f>
        <v>1</v>
      </c>
      <c r="G6" s="7" t="str">
        <f t="array" ref="G6">IF(SUM(IF(COUNTIF(t_B2n2[[#This Row],[b1]:[b0]],t_B2n2[[#This Row],[b1]:[b0]])=1,1,0))=$B$1,"←Perm","")</f>
        <v>←Perm</v>
      </c>
      <c r="H6" s="27" t="s">
        <v>0</v>
      </c>
      <c r="J6" s="34" t="s">
        <v>21</v>
      </c>
      <c r="K6" s="35" t="s">
        <v>5</v>
      </c>
      <c r="Q6" s="139">
        <f>t_B2n2_AB1[[#This Row],[Offset]]-R5</f>
        <v>4</v>
      </c>
      <c r="R6" s="139">
        <f>INDEX(t_B2n2_Fixed[Offset],MATCH($A$8,t_B2n2[x],0),1)</f>
        <v>2</v>
      </c>
      <c r="S6" s="139">
        <v>3</v>
      </c>
      <c r="T6" s="272" t="s">
        <v>31</v>
      </c>
      <c r="W6" s="139">
        <f>t_B2n2_S1[[#This Row],[Offset]]-X5</f>
        <v>2</v>
      </c>
      <c r="X6" s="139">
        <f>INDEX(t_B2n2_Fixed[Offset],MATCH($A$7,t_B2n2[x],0),1)</f>
        <v>1</v>
      </c>
      <c r="Y6" s="139">
        <v>2</v>
      </c>
      <c r="Z6" s="255" t="s">
        <v>64</v>
      </c>
    </row>
    <row r="7" spans="1:29" x14ac:dyDescent="0.25">
      <c r="A7" s="139">
        <v>2</v>
      </c>
      <c r="B7" s="139">
        <f>ROUNDUP(t_B2n2_Fixed[[#This Row],[Row]]-$B$3,0)</f>
        <v>1</v>
      </c>
      <c r="C7" s="12">
        <f>t_B2n2[[#This Row],[x]]-D6</f>
        <v>1</v>
      </c>
      <c r="D7" s="139">
        <v>2</v>
      </c>
      <c r="E7" s="43">
        <f>MOD(INT(t_B2n2[[#This Row],[x]]/$B$1^INT(RIGHT(t_B2n2[[#Headers],[b1]],1))),$B$1)</f>
        <v>1</v>
      </c>
      <c r="F7" s="43">
        <f>MOD(INT(t_B2n2[[#This Row],[x]]/$B$1^INT(RIGHT(t_B2n2[[#Headers],[b0]],1))),$B$1)</f>
        <v>0</v>
      </c>
      <c r="G7" s="12" t="str">
        <f t="array" ref="G7">IF(SUM(IF(COUNTIF(t_B2n2[[#This Row],[b1]:[b0]],t_B2n2[[#This Row],[b1]:[b0]])=1,1,0))=$B$1,"←Perm","")</f>
        <v>←Perm</v>
      </c>
      <c r="J7" s="32" t="s">
        <v>13</v>
      </c>
      <c r="K7" s="33">
        <v>1</v>
      </c>
      <c r="M7" s="89" t="s">
        <v>33</v>
      </c>
      <c r="N7" s="107" t="s">
        <v>34</v>
      </c>
      <c r="Q7" s="17"/>
      <c r="R7" s="17"/>
      <c r="S7" s="17"/>
      <c r="T7" s="17"/>
    </row>
    <row r="8" spans="1:29" ht="15.75" thickBot="1" x14ac:dyDescent="0.3">
      <c r="A8" s="139">
        <v>3</v>
      </c>
      <c r="B8" s="139">
        <f>ROUNDUP(t_B2n2_Fixed[[#This Row],[Row]]-$B$3,0)</f>
        <v>2</v>
      </c>
      <c r="C8" s="12">
        <f>t_B2n2[[#This Row],[x]]-D7</f>
        <v>1</v>
      </c>
      <c r="D8" s="9">
        <v>3</v>
      </c>
      <c r="E8" s="76">
        <f>MOD(INT(t_B2n2[[#This Row],[x]]/$B$1^INT(RIGHT(t_B2n2[[#Headers],[b1]],1))),$B$1)</f>
        <v>1</v>
      </c>
      <c r="F8" s="76">
        <f>MOD(INT(t_B2n2[[#This Row],[x]]/$B$1^INT(RIGHT(t_B2n2[[#Headers],[b0]],1))),$B$1)</f>
        <v>1</v>
      </c>
      <c r="G8" s="12" t="str">
        <f t="array" ref="G8">IF(SUM(IF(COUNTIF(t_B2n2[[#This Row],[b1]:[b0]],t_B2n2[[#This Row],[b1]:[b0]])=1,1,0))=$B$1,"←Perm","")</f>
        <v/>
      </c>
      <c r="J8" s="30" t="s">
        <v>23</v>
      </c>
      <c r="K8" s="31">
        <v>1</v>
      </c>
      <c r="M8" s="90" t="s">
        <v>35</v>
      </c>
      <c r="N8" s="209"/>
      <c r="Q8" s="17"/>
      <c r="R8" s="17"/>
      <c r="S8" s="17"/>
      <c r="T8" s="17"/>
    </row>
    <row r="9" spans="1:29" x14ac:dyDescent="0.25">
      <c r="A9" s="197" t="s">
        <v>1</v>
      </c>
      <c r="B9" s="139"/>
      <c r="C9">
        <f>SUBTOTAL(109,t_B2n2_Fixed[Interval])</f>
        <v>3</v>
      </c>
      <c r="D9" t="s">
        <v>1</v>
      </c>
      <c r="E9">
        <f>SUBTOTAL(109,t_B2n2[b1])</f>
        <v>2</v>
      </c>
      <c r="F9">
        <f>SUBTOTAL(109,t_B2n2[b0])</f>
        <v>2</v>
      </c>
      <c r="J9" s="113" t="s">
        <v>15</v>
      </c>
      <c r="K9" s="114">
        <f>SUM(K7:K8)</f>
        <v>2</v>
      </c>
      <c r="Q9" s="17"/>
      <c r="R9" s="17"/>
      <c r="S9" s="17"/>
      <c r="T9" s="17"/>
    </row>
    <row r="10" spans="1:29" ht="15.75" thickBot="1" x14ac:dyDescent="0.3">
      <c r="H10" s="17"/>
      <c r="J10" s="115" t="s">
        <v>16</v>
      </c>
      <c r="K10" s="116">
        <v>3</v>
      </c>
      <c r="Q10" s="17"/>
      <c r="R10" s="17"/>
      <c r="S10" s="17"/>
      <c r="T10" s="17"/>
    </row>
    <row r="11" spans="1:29" x14ac:dyDescent="0.25">
      <c r="Q11" s="17"/>
      <c r="R11" s="17"/>
      <c r="S11" s="17"/>
      <c r="T11" s="17"/>
    </row>
    <row r="12" spans="1:29" x14ac:dyDescent="0.25">
      <c r="Q12" s="17"/>
      <c r="R12" s="17"/>
      <c r="S12" s="17"/>
      <c r="T12" s="17"/>
    </row>
    <row r="13" spans="1:29" x14ac:dyDescent="0.25">
      <c r="R13" s="17"/>
      <c r="S13" s="17"/>
      <c r="T13" s="17"/>
      <c r="X13" s="17"/>
      <c r="Y13" s="17"/>
      <c r="Z13" s="17"/>
      <c r="AB13" s="17"/>
      <c r="AC13" s="17"/>
    </row>
    <row r="14" spans="1:29" x14ac:dyDescent="0.25">
      <c r="R14" s="17"/>
      <c r="S14" s="17"/>
      <c r="T14" s="17"/>
      <c r="X14" s="17"/>
      <c r="Y14" s="17"/>
      <c r="Z14" s="17"/>
      <c r="AB14" s="17"/>
      <c r="AC14" s="17"/>
    </row>
    <row r="15" spans="1:29" x14ac:dyDescent="0.25">
      <c r="B15" s="17"/>
      <c r="C15" s="17"/>
      <c r="R15" s="17"/>
      <c r="S15" s="17"/>
      <c r="T15" s="17"/>
      <c r="X15" s="17"/>
      <c r="Y15" s="17"/>
      <c r="Z15" s="17"/>
      <c r="AB15" s="17"/>
      <c r="AC15" s="17"/>
    </row>
    <row r="16" spans="1:29" x14ac:dyDescent="0.25">
      <c r="B16" s="17"/>
      <c r="C16" s="17"/>
      <c r="R16" s="17"/>
      <c r="S16" s="17"/>
      <c r="T16" s="17"/>
      <c r="X16" s="17"/>
      <c r="Y16" s="17"/>
      <c r="Z16" s="17"/>
      <c r="AB16" s="17"/>
      <c r="AC16" s="17"/>
    </row>
    <row r="17" spans="2:29" x14ac:dyDescent="0.25">
      <c r="B17" s="17"/>
      <c r="R17" s="17"/>
      <c r="S17" s="17"/>
      <c r="T17" s="17"/>
      <c r="X17" s="17"/>
      <c r="Y17" s="17"/>
      <c r="Z17" s="17"/>
      <c r="AB17" s="17"/>
      <c r="AC17" s="17"/>
    </row>
    <row r="18" spans="2:29" x14ac:dyDescent="0.25">
      <c r="B18" s="17"/>
      <c r="X18" s="17"/>
      <c r="Y18" s="17"/>
      <c r="Z18" s="17"/>
      <c r="AB18" s="17"/>
      <c r="AC18" s="17"/>
    </row>
    <row r="19" spans="2:29" x14ac:dyDescent="0.25">
      <c r="B19" s="17"/>
      <c r="X19" s="17"/>
      <c r="Y19" s="17"/>
      <c r="Z19" s="17"/>
      <c r="AB19" s="17"/>
      <c r="AC19" s="17"/>
    </row>
    <row r="20" spans="2:29" x14ac:dyDescent="0.25">
      <c r="B20" s="17"/>
    </row>
    <row r="21" spans="2:29" x14ac:dyDescent="0.25">
      <c r="B21" s="17"/>
    </row>
    <row r="22" spans="2:29" x14ac:dyDescent="0.25">
      <c r="B22" s="17"/>
    </row>
    <row r="23" spans="2:29" x14ac:dyDescent="0.25">
      <c r="B23" s="17"/>
    </row>
    <row r="24" spans="2:29" x14ac:dyDescent="0.25">
      <c r="B24" s="17"/>
      <c r="S24" s="17"/>
      <c r="T24" s="17"/>
      <c r="V24" s="17"/>
    </row>
    <row r="25" spans="2:29" x14ac:dyDescent="0.25">
      <c r="B25" s="17"/>
      <c r="S25" s="17"/>
      <c r="T25" s="17"/>
      <c r="V25" s="17"/>
    </row>
    <row r="26" spans="2:29" x14ac:dyDescent="0.25">
      <c r="B26" s="17"/>
      <c r="C26" s="17"/>
    </row>
    <row r="27" spans="2:29" x14ac:dyDescent="0.25">
      <c r="B27" s="17"/>
      <c r="C27" s="17"/>
    </row>
    <row r="28" spans="2:29" x14ac:dyDescent="0.25">
      <c r="B28" s="17"/>
    </row>
    <row r="29" spans="2:29" x14ac:dyDescent="0.25">
      <c r="B29" s="17"/>
    </row>
    <row r="30" spans="2:29" x14ac:dyDescent="0.25">
      <c r="B30" s="17"/>
    </row>
    <row r="31" spans="2:29" x14ac:dyDescent="0.25">
      <c r="B31" s="17"/>
    </row>
    <row r="32" spans="2:29" x14ac:dyDescent="0.25">
      <c r="B32" s="17"/>
    </row>
    <row r="33" spans="2:2" x14ac:dyDescent="0.25">
      <c r="B33" s="17"/>
    </row>
    <row r="34" spans="2:2" x14ac:dyDescent="0.25">
      <c r="B34" s="17"/>
    </row>
    <row r="35" spans="2:2" x14ac:dyDescent="0.25">
      <c r="B35" s="17"/>
    </row>
  </sheetData>
  <phoneticPr fontId="22" type="noConversion"/>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28"/>
  <sheetViews>
    <sheetView workbookViewId="0">
      <pane ySplit="4" topLeftCell="A5" activePane="bottomLeft" state="frozen"/>
      <selection pane="bottomLeft"/>
    </sheetView>
  </sheetViews>
  <sheetFormatPr defaultRowHeight="15" x14ac:dyDescent="0.25"/>
  <cols>
    <col min="1" max="1" width="9.5703125" bestFit="1" customWidth="1"/>
    <col min="2" max="2" width="5.5703125" bestFit="1" customWidth="1"/>
    <col min="3" max="3" width="3.7109375" bestFit="1" customWidth="1"/>
    <col min="4" max="4" width="5.7109375" bestFit="1" customWidth="1"/>
    <col min="5" max="7" width="5.140625" bestFit="1" customWidth="1"/>
    <col min="8" max="8" width="7.85546875" bestFit="1" customWidth="1"/>
    <col min="9" max="9" width="7.85546875" customWidth="1"/>
    <col min="10" max="10" width="23.5703125" bestFit="1" customWidth="1"/>
    <col min="11" max="12" width="4.140625" bestFit="1" customWidth="1"/>
    <col min="13" max="13" width="3.28515625" bestFit="1" customWidth="1"/>
    <col min="14" max="14" width="3.140625" bestFit="1" customWidth="1"/>
    <col min="15" max="15" width="2.5703125" bestFit="1" customWidth="1"/>
    <col min="17" max="17" width="3.7109375" bestFit="1" customWidth="1"/>
    <col min="18" max="18" width="6" customWidth="1"/>
    <col min="19" max="19" width="4.85546875" bestFit="1" customWidth="1"/>
    <col min="20" max="20" width="6.7109375" bestFit="1" customWidth="1"/>
    <col min="21" max="21" width="7.85546875" style="17" customWidth="1"/>
    <col min="23" max="23" width="3.7109375" bestFit="1" customWidth="1"/>
    <col min="24" max="24" width="6" bestFit="1" customWidth="1"/>
    <col min="25" max="26" width="4.85546875" bestFit="1" customWidth="1"/>
    <col min="27" max="27" width="6.7109375" style="17" bestFit="1" customWidth="1"/>
    <col min="28" max="28" width="7.85546875" bestFit="1" customWidth="1"/>
  </cols>
  <sheetData>
    <row r="1" spans="1:87" s="17" customFormat="1" ht="18.75" x14ac:dyDescent="0.3">
      <c r="A1" s="202" t="s">
        <v>2</v>
      </c>
      <c r="B1" s="203">
        <v>2</v>
      </c>
    </row>
    <row r="2" spans="1:87" s="17" customFormat="1" ht="18.75" x14ac:dyDescent="0.3">
      <c r="A2" s="202" t="s">
        <v>4</v>
      </c>
      <c r="B2" s="203">
        <v>3</v>
      </c>
    </row>
    <row r="3" spans="1:87" ht="18.75" x14ac:dyDescent="0.3">
      <c r="A3" s="202" t="s">
        <v>0</v>
      </c>
      <c r="B3" s="203">
        <f>(B1^B2 - 1)/2</f>
        <v>3.5</v>
      </c>
    </row>
    <row r="4" spans="1:87" ht="51.75" thickBot="1" x14ac:dyDescent="0.3">
      <c r="A4" s="120" t="s">
        <v>25</v>
      </c>
      <c r="B4" s="120" t="s">
        <v>26</v>
      </c>
      <c r="C4" s="120" t="s">
        <v>28</v>
      </c>
      <c r="D4" s="208" t="s">
        <v>27</v>
      </c>
      <c r="E4" s="121" t="s">
        <v>9</v>
      </c>
      <c r="F4" s="121" t="s">
        <v>8</v>
      </c>
      <c r="G4" s="121" t="s">
        <v>7</v>
      </c>
      <c r="Q4" s="120" t="s">
        <v>28</v>
      </c>
      <c r="R4" s="322" t="s">
        <v>26</v>
      </c>
      <c r="S4" s="323" t="s">
        <v>539</v>
      </c>
      <c r="T4" s="324" t="s">
        <v>537</v>
      </c>
      <c r="W4" s="120" t="s">
        <v>28</v>
      </c>
      <c r="X4" s="120" t="s">
        <v>26</v>
      </c>
      <c r="Y4" s="254" t="s">
        <v>538</v>
      </c>
      <c r="Z4" s="254" t="s">
        <v>539</v>
      </c>
      <c r="AA4" s="120" t="s">
        <v>537</v>
      </c>
      <c r="AB4" s="16"/>
    </row>
    <row r="5" spans="1:87" ht="16.5" thickTop="1" thickBot="1" x14ac:dyDescent="0.3">
      <c r="A5" s="139">
        <v>0</v>
      </c>
      <c r="B5" s="139">
        <f>ROUNDUP(t_B2n3_Fixed[[#This Row],[Row]]-$B$3,0)</f>
        <v>-4</v>
      </c>
      <c r="C5" s="12"/>
      <c r="D5" s="1">
        <v>0</v>
      </c>
      <c r="E5" s="20">
        <f>MOD(INT(t_B2n3[[#This Row],[x]]/$B$1^INT(RIGHT(t_B2n3[[#Headers],[b2]],1))),$B$1)</f>
        <v>0</v>
      </c>
      <c r="F5" s="20">
        <f>MOD(INT(t_B2n3[[#This Row],[x]]/$B$1^INT(RIGHT(t_B2n3[[#Headers],[b1]],1))),$B$1)</f>
        <v>0</v>
      </c>
      <c r="G5" s="20">
        <f>MOD(INT(t_B2n3[[#This Row],[x]]/$B$1^INT(RIGHT(t_B2n3[[#Headers],[b0]],1))),$B$1)</f>
        <v>0</v>
      </c>
      <c r="Q5" s="139"/>
      <c r="R5" s="320">
        <f>INDEX(t_B2n3_Fixed[Offset],MATCH($A$5,t_B2n3[x],0),1)</f>
        <v>-4</v>
      </c>
      <c r="S5" s="314">
        <v>0</v>
      </c>
      <c r="T5" s="329" t="s">
        <v>56</v>
      </c>
      <c r="U5" s="27" t="s">
        <v>0</v>
      </c>
      <c r="W5" s="139"/>
      <c r="X5" s="139">
        <f>INDEX(t_B2n3_Fixed[Offset],MATCH($A$6,t_B2n3[x],0),1)</f>
        <v>-3</v>
      </c>
      <c r="Y5" s="139">
        <v>0</v>
      </c>
      <c r="Z5" s="139">
        <v>1</v>
      </c>
      <c r="AA5" s="256" t="s">
        <v>58</v>
      </c>
      <c r="AB5" s="16"/>
    </row>
    <row r="6" spans="1:87" ht="15.75" thickBot="1" x14ac:dyDescent="0.3">
      <c r="A6" s="139">
        <v>1</v>
      </c>
      <c r="B6" s="139">
        <f>ROUNDUP(t_B2n3_Fixed[[#This Row],[Row]]-$B$3,0)</f>
        <v>-3</v>
      </c>
      <c r="C6" s="12">
        <f>t_B2n3[[#This Row],[x]]-D5</f>
        <v>1</v>
      </c>
      <c r="D6" s="9">
        <v>1</v>
      </c>
      <c r="E6" s="43">
        <f>MOD(INT(t_B2n3[[#This Row],[x]]/$B$1^INT(RIGHT(t_B2n3[[#Headers],[b2]],1))),$B$1)</f>
        <v>0</v>
      </c>
      <c r="F6" s="43">
        <f>MOD(INT(t_B2n3[[#This Row],[x]]/$B$1^INT(RIGHT(t_B2n3[[#Headers],[b1]],1))),$B$1)</f>
        <v>0</v>
      </c>
      <c r="G6" s="43">
        <f>MOD(INT(t_B2n3[[#This Row],[x]]/$B$1^INT(RIGHT(t_B2n3[[#Headers],[b0]],1))),$B$1)</f>
        <v>1</v>
      </c>
      <c r="J6" s="34" t="s">
        <v>21</v>
      </c>
      <c r="K6" s="35" t="s">
        <v>5</v>
      </c>
      <c r="Q6" s="139">
        <f>t_B2n3_AB1[[#This Row],[Offset]]-R5</f>
        <v>8</v>
      </c>
      <c r="R6" s="325">
        <f>INDEX(t_B2n3_Fixed[Offset],MATCH($A$12,t_B2n3[x],0),1)</f>
        <v>4</v>
      </c>
      <c r="S6" s="317">
        <v>7</v>
      </c>
      <c r="T6" s="330" t="s">
        <v>57</v>
      </c>
      <c r="W6" s="139">
        <f>t_B2n3_AB[[#This Row],[Offset]]-X5</f>
        <v>1</v>
      </c>
      <c r="X6" s="139">
        <f>INDEX(t_B2n3_Fixed[Offset],MATCH($A$7,t_B2n3[x],0),1)</f>
        <v>-2</v>
      </c>
      <c r="Y6" s="139">
        <v>1</v>
      </c>
      <c r="Z6" s="139">
        <v>2</v>
      </c>
      <c r="AA6" s="256" t="s">
        <v>59</v>
      </c>
      <c r="AB6" s="16"/>
    </row>
    <row r="7" spans="1:87" ht="15.75" thickBot="1" x14ac:dyDescent="0.3">
      <c r="A7" s="139">
        <v>2</v>
      </c>
      <c r="B7" s="139">
        <f>ROUNDUP(t_B2n3_Fixed[[#This Row],[Row]]-$B$3,0)</f>
        <v>-2</v>
      </c>
      <c r="C7" s="12">
        <f>t_B2n3[[#This Row],[x]]-D6</f>
        <v>1</v>
      </c>
      <c r="D7" s="1">
        <v>2</v>
      </c>
      <c r="E7" s="43">
        <f>MOD(INT(t_B2n3[[#This Row],[x]]/$B$1^INT(RIGHT(t_B2n3[[#Headers],[b2]],1))),$B$1)</f>
        <v>0</v>
      </c>
      <c r="F7" s="43">
        <f>MOD(INT(t_B2n3[[#This Row],[x]]/$B$1^INT(RIGHT(t_B2n3[[#Headers],[b1]],1))),$B$1)</f>
        <v>1</v>
      </c>
      <c r="G7" s="43">
        <f>MOD(INT(t_B2n3[[#This Row],[x]]/$B$1^INT(RIGHT(t_B2n3[[#Headers],[b0]],1))),$B$1)</f>
        <v>0</v>
      </c>
      <c r="J7" s="32" t="s">
        <v>13</v>
      </c>
      <c r="K7" s="33">
        <v>1</v>
      </c>
      <c r="M7" s="210" t="s">
        <v>33</v>
      </c>
      <c r="N7" s="211" t="s">
        <v>34</v>
      </c>
      <c r="Q7" s="17"/>
      <c r="R7" s="17"/>
      <c r="S7" s="17"/>
      <c r="T7" s="17"/>
      <c r="W7" s="139">
        <f>t_B2n3_AB[[#This Row],[Offset]]-X6</f>
        <v>1</v>
      </c>
      <c r="X7" s="6">
        <f>INDEX(t_B2n3_Fixed[Offset],MATCH($A$8,t_B2n3[x],0),1)</f>
        <v>-1</v>
      </c>
      <c r="Y7" s="6">
        <v>3</v>
      </c>
      <c r="Z7" s="6">
        <v>3</v>
      </c>
      <c r="AA7" s="355" t="s">
        <v>61</v>
      </c>
      <c r="AB7" s="25" t="s">
        <v>0</v>
      </c>
    </row>
    <row r="8" spans="1:87" ht="15.75" thickBot="1" x14ac:dyDescent="0.3">
      <c r="A8" s="6">
        <v>3</v>
      </c>
      <c r="B8" s="6">
        <f>ROUNDUP(t_B2n3_Fixed[[#This Row],[Row]]-$B$3,0)</f>
        <v>-1</v>
      </c>
      <c r="C8" s="7">
        <f>t_B2n3[[#This Row],[x]]-D7</f>
        <v>1</v>
      </c>
      <c r="D8" s="6">
        <v>3</v>
      </c>
      <c r="E8" s="164">
        <f>MOD(INT(t_B2n3[[#This Row],[x]]/$B$1^INT(RIGHT(t_B2n3[[#Headers],[b2]],1))),$B$1)</f>
        <v>0</v>
      </c>
      <c r="F8" s="164">
        <f>MOD(INT(t_B2n3[[#This Row],[x]]/$B$1^INT(RIGHT(t_B2n3[[#Headers],[b1]],1))),$B$1)</f>
        <v>1</v>
      </c>
      <c r="G8" s="164">
        <f>MOD(INT(t_B2n3[[#This Row],[x]]/$B$1^INT(RIGHT(t_B2n3[[#Headers],[b0]],1))),$B$1)</f>
        <v>1</v>
      </c>
      <c r="H8" s="27" t="s">
        <v>0</v>
      </c>
      <c r="J8" s="36" t="s">
        <v>17</v>
      </c>
      <c r="K8" s="37">
        <v>1</v>
      </c>
      <c r="M8" s="213" t="s">
        <v>36</v>
      </c>
      <c r="N8" s="214" t="s">
        <v>37</v>
      </c>
      <c r="Q8" s="17"/>
      <c r="R8" s="17"/>
      <c r="S8" s="17"/>
      <c r="T8" s="17"/>
      <c r="W8" s="139">
        <f>t_B2n3_AB[[#This Row],[Offset]]-X7</f>
        <v>2</v>
      </c>
      <c r="X8" s="139">
        <f>INDEX(t_B2n3_Fixed[Offset],MATCH($A$9,t_B2n3[x],0),1)</f>
        <v>1</v>
      </c>
      <c r="Y8" s="139">
        <v>2</v>
      </c>
      <c r="Z8" s="139">
        <v>4</v>
      </c>
      <c r="AA8" s="256" t="s">
        <v>60</v>
      </c>
      <c r="AB8" s="16"/>
    </row>
    <row r="9" spans="1:87" x14ac:dyDescent="0.25">
      <c r="A9" s="139">
        <v>4</v>
      </c>
      <c r="B9" s="139">
        <f>ROUNDUP(t_B2n3_Fixed[[#This Row],[Row]]-$B$3,0)</f>
        <v>1</v>
      </c>
      <c r="C9" s="12">
        <f>t_B2n3[[#This Row],[x]]-D8</f>
        <v>1</v>
      </c>
      <c r="D9" s="1">
        <v>4</v>
      </c>
      <c r="E9" s="43">
        <f>MOD(INT(t_B2n3[[#This Row],[x]]/$B$1^INT(RIGHT(t_B2n3[[#Headers],[b2]],1))),$B$1)</f>
        <v>1</v>
      </c>
      <c r="F9" s="43">
        <f>MOD(INT(t_B2n3[[#This Row],[x]]/$B$1^INT(RIGHT(t_B2n3[[#Headers],[b1]],1))),$B$1)</f>
        <v>0</v>
      </c>
      <c r="G9" s="43">
        <f>MOD(INT(t_B2n3[[#This Row],[x]]/$B$1^INT(RIGHT(t_B2n3[[#Headers],[b0]],1))),$B$1)</f>
        <v>0</v>
      </c>
      <c r="J9" s="113" t="s">
        <v>15</v>
      </c>
      <c r="K9" s="114">
        <f>SUM(K7:K8)</f>
        <v>2</v>
      </c>
      <c r="Q9" s="17"/>
      <c r="R9" s="17"/>
      <c r="S9" s="17"/>
      <c r="T9" s="17"/>
      <c r="W9" s="139">
        <f>t_B2n3_AB[[#This Row],[Offset]]-X8</f>
        <v>1</v>
      </c>
      <c r="X9" s="139">
        <f>INDEX(t_B2n3_Fixed[Offset],MATCH($A$10,t_B2n3[x],0),1)</f>
        <v>2</v>
      </c>
      <c r="Y9" s="139">
        <v>4</v>
      </c>
      <c r="Z9" s="139">
        <v>5</v>
      </c>
      <c r="AA9" s="257" t="s">
        <v>62</v>
      </c>
      <c r="AB9" s="16"/>
    </row>
    <row r="10" spans="1:87" ht="15.75" thickBot="1" x14ac:dyDescent="0.3">
      <c r="A10" s="139">
        <v>5</v>
      </c>
      <c r="B10" s="139">
        <f>ROUNDUP(t_B2n3_Fixed[[#This Row],[Row]]-$B$3,0)</f>
        <v>2</v>
      </c>
      <c r="C10" s="12">
        <f>t_B2n3[[#This Row],[x]]-D9</f>
        <v>1</v>
      </c>
      <c r="D10" s="139">
        <v>5</v>
      </c>
      <c r="E10" s="165">
        <f>MOD(INT(t_B2n3[[#This Row],[x]]/$B$1^INT(RIGHT(t_B2n3[[#Headers],[b2]],1))),$B$1)</f>
        <v>1</v>
      </c>
      <c r="F10" s="165">
        <f>MOD(INT(t_B2n3[[#This Row],[x]]/$B$1^INT(RIGHT(t_B2n3[[#Headers],[b1]],1))),$B$1)</f>
        <v>0</v>
      </c>
      <c r="G10" s="165">
        <f>MOD(INT(t_B2n3[[#This Row],[x]]/$B$1^INT(RIGHT(t_B2n3[[#Headers],[b0]],1))),$B$1)</f>
        <v>1</v>
      </c>
      <c r="J10" s="115" t="s">
        <v>16</v>
      </c>
      <c r="K10" s="116">
        <v>4</v>
      </c>
      <c r="Q10" s="17"/>
      <c r="R10" s="17"/>
      <c r="S10" s="17"/>
      <c r="T10" s="17"/>
      <c r="W10" s="139">
        <f>t_B2n3_AB[[#This Row],[Offset]]-X9</f>
        <v>1</v>
      </c>
      <c r="X10" s="139">
        <f>INDEX(t_B2n3_Fixed[Offset],MATCH($A$11,t_B2n3[x],0),1)</f>
        <v>3</v>
      </c>
      <c r="Y10" s="139">
        <v>5</v>
      </c>
      <c r="Z10" s="139">
        <v>6</v>
      </c>
      <c r="AA10" s="257" t="s">
        <v>63</v>
      </c>
      <c r="AB10" s="16"/>
    </row>
    <row r="11" spans="1:87" x14ac:dyDescent="0.25">
      <c r="A11" s="139">
        <v>6</v>
      </c>
      <c r="B11" s="139">
        <f>ROUNDUP(t_B2n3_Fixed[[#This Row],[Row]]-$B$3,0)</f>
        <v>3</v>
      </c>
      <c r="C11" s="12">
        <f>t_B2n3[[#This Row],[x]]-D10</f>
        <v>1</v>
      </c>
      <c r="D11" s="139">
        <v>6</v>
      </c>
      <c r="E11" s="165">
        <f>MOD(INT(t_B2n3[[#This Row],[x]]/$B$1^INT(RIGHT(t_B2n3[[#Headers],[b2]],1))),$B$1)</f>
        <v>1</v>
      </c>
      <c r="F11" s="165">
        <f>MOD(INT(t_B2n3[[#This Row],[x]]/$B$1^INT(RIGHT(t_B2n3[[#Headers],[b1]],1))),$B$1)</f>
        <v>1</v>
      </c>
      <c r="G11" s="165">
        <f>MOD(INT(t_B2n3[[#This Row],[x]]/$B$1^INT(RIGHT(t_B2n3[[#Headers],[b0]],1))),$B$1)</f>
        <v>0</v>
      </c>
      <c r="Q11" s="17"/>
      <c r="R11" s="17"/>
      <c r="S11" s="17"/>
      <c r="T11" s="17"/>
      <c r="AA11" s="16"/>
    </row>
    <row r="12" spans="1:87" x14ac:dyDescent="0.25">
      <c r="A12" s="139">
        <v>7</v>
      </c>
      <c r="B12" s="139">
        <f>ROUNDUP(t_B2n3_Fixed[[#This Row],[Row]]-$B$3,0)</f>
        <v>4</v>
      </c>
      <c r="C12" s="12">
        <f>t_B2n3[[#This Row],[x]]-D11</f>
        <v>1</v>
      </c>
      <c r="D12" s="9">
        <v>7</v>
      </c>
      <c r="E12" s="76">
        <f>MOD(INT(t_B2n3[[#This Row],[x]]/$B$1^INT(RIGHT(t_B2n3[[#Headers],[b2]],1))),$B$1)</f>
        <v>1</v>
      </c>
      <c r="F12" s="76">
        <f>MOD(INT(t_B2n3[[#This Row],[x]]/$B$1^INT(RIGHT(t_B2n3[[#Headers],[b1]],1))),$B$1)</f>
        <v>1</v>
      </c>
      <c r="G12" s="76">
        <f>MOD(INT(t_B2n3[[#This Row],[x]]/$B$1^INT(RIGHT(t_B2n3[[#Headers],[b0]],1))),$B$1)</f>
        <v>1</v>
      </c>
      <c r="Q12" s="17"/>
      <c r="R12" s="17"/>
      <c r="S12" s="17"/>
      <c r="T12" s="17"/>
      <c r="AA12" s="16"/>
    </row>
    <row r="13" spans="1:87" x14ac:dyDescent="0.25">
      <c r="A13" s="197" t="s">
        <v>1</v>
      </c>
      <c r="B13" s="139"/>
      <c r="C13">
        <f>SUBTOTAL(109,t_B2n3_Fixed[Interval])</f>
        <v>7</v>
      </c>
      <c r="D13" t="s">
        <v>1</v>
      </c>
      <c r="E13">
        <f>SUBTOTAL(109,t_B2n3[b2])</f>
        <v>4</v>
      </c>
      <c r="F13">
        <f>SUBTOTAL(109,t_B2n3[b1])</f>
        <v>4</v>
      </c>
      <c r="G13">
        <f>SUBTOTAL(109,t_B2n3[b0])</f>
        <v>4</v>
      </c>
      <c r="AA13" s="16"/>
    </row>
    <row r="14" spans="1:87" x14ac:dyDescent="0.25">
      <c r="AA14" s="16"/>
    </row>
    <row r="15" spans="1:87" x14ac:dyDescent="0.25">
      <c r="AA15" s="16"/>
    </row>
    <row r="16" spans="1:87" x14ac:dyDescent="0.25">
      <c r="Q16" s="17"/>
      <c r="R16" s="17"/>
      <c r="S16" s="17"/>
      <c r="T16" s="17"/>
      <c r="V16" s="17"/>
      <c r="W16" s="17"/>
      <c r="X16" s="17"/>
      <c r="Y16" s="17"/>
      <c r="Z16" s="17"/>
      <c r="AA16" s="16"/>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row>
    <row r="17" spans="17:87" x14ac:dyDescent="0.25">
      <c r="Q17" s="17"/>
      <c r="R17" s="17"/>
      <c r="S17" s="17"/>
      <c r="T17" s="17"/>
      <c r="V17" s="17"/>
      <c r="W17" s="17"/>
      <c r="X17" s="17"/>
      <c r="Y17" s="17"/>
      <c r="Z17" s="17"/>
      <c r="AA17" s="16"/>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row>
    <row r="18" spans="17:87" x14ac:dyDescent="0.25">
      <c r="Q18" s="17"/>
      <c r="R18" s="17"/>
      <c r="S18" s="17"/>
      <c r="T18" s="17"/>
      <c r="V18" s="17"/>
      <c r="W18" s="17"/>
      <c r="X18" s="17"/>
      <c r="Y18" s="17"/>
      <c r="Z18" s="17"/>
      <c r="AA18" s="16"/>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row>
    <row r="19" spans="17:87" x14ac:dyDescent="0.25">
      <c r="Q19" s="17"/>
      <c r="R19" s="17"/>
      <c r="S19" s="17"/>
      <c r="T19" s="17"/>
      <c r="V19" s="17"/>
      <c r="W19" s="17"/>
      <c r="X19" s="17"/>
      <c r="Y19" s="17"/>
      <c r="Z19" s="17"/>
      <c r="AA19" s="16"/>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row>
    <row r="20" spans="17:87" x14ac:dyDescent="0.25">
      <c r="Q20" s="17"/>
      <c r="R20" s="17"/>
      <c r="S20" s="17"/>
      <c r="T20" s="17"/>
      <c r="V20" s="17"/>
      <c r="W20" s="17"/>
      <c r="X20" s="17"/>
      <c r="Y20" s="17"/>
      <c r="Z20" s="17"/>
      <c r="AA20" s="16"/>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row>
    <row r="21" spans="17:87" x14ac:dyDescent="0.25">
      <c r="Q21" s="17"/>
      <c r="R21" s="17"/>
      <c r="S21" s="17"/>
      <c r="T21" s="17"/>
      <c r="V21" s="17"/>
      <c r="W21" s="17"/>
      <c r="X21" s="17"/>
      <c r="Y21" s="17"/>
      <c r="Z21" s="17"/>
      <c r="AA21" s="16"/>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row>
    <row r="22" spans="17:87" x14ac:dyDescent="0.25">
      <c r="Q22" s="17"/>
      <c r="R22" s="17"/>
      <c r="S22" s="17"/>
      <c r="T22" s="17"/>
      <c r="V22" s="17"/>
      <c r="W22" s="17"/>
      <c r="X22" s="17"/>
      <c r="Y22" s="17"/>
      <c r="Z22" s="17"/>
      <c r="AA22" s="16"/>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row>
    <row r="23" spans="17:87" x14ac:dyDescent="0.25">
      <c r="AA23" s="16"/>
    </row>
    <row r="24" spans="17:87" x14ac:dyDescent="0.25">
      <c r="AA24" s="16"/>
    </row>
    <row r="25" spans="17:87" x14ac:dyDescent="0.25">
      <c r="AA25" s="16"/>
    </row>
    <row r="26" spans="17:87" x14ac:dyDescent="0.25">
      <c r="AA26" s="16"/>
    </row>
    <row r="27" spans="17:87" x14ac:dyDescent="0.25">
      <c r="AA27" s="16"/>
    </row>
    <row r="28" spans="17:87" x14ac:dyDescent="0.25">
      <c r="AA28" s="16"/>
    </row>
  </sheetData>
  <phoneticPr fontId="22" type="noConversion"/>
  <pageMargins left="0.7" right="0.7" top="0.75" bottom="0.75" header="0.3" footer="0.3"/>
  <pageSetup paperSize="9" orientation="portrait" horizontalDpi="1200" verticalDpi="1200" r:id="rId1"/>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L123"/>
  <sheetViews>
    <sheetView workbookViewId="0">
      <pane ySplit="4" topLeftCell="A5" activePane="bottomLeft" state="frozen"/>
      <selection pane="bottomLeft"/>
    </sheetView>
  </sheetViews>
  <sheetFormatPr defaultRowHeight="15" x14ac:dyDescent="0.25"/>
  <cols>
    <col min="1" max="1" width="9.5703125" bestFit="1" customWidth="1"/>
    <col min="2" max="2" width="5.5703125" bestFit="1" customWidth="1"/>
    <col min="3" max="3" width="3.7109375" bestFit="1" customWidth="1"/>
    <col min="4" max="4" width="5.7109375" bestFit="1" customWidth="1"/>
    <col min="5" max="8" width="5.140625" bestFit="1" customWidth="1"/>
    <col min="9" max="9" width="7.85546875" bestFit="1" customWidth="1"/>
    <col min="10" max="10" width="7.85546875" customWidth="1"/>
    <col min="11" max="11" width="27.7109375" bestFit="1" customWidth="1"/>
    <col min="12" max="13" width="4.140625" bestFit="1" customWidth="1"/>
    <col min="14" max="14" width="3.28515625" style="154" bestFit="1" customWidth="1"/>
    <col min="15" max="15" width="3.140625" style="154" bestFit="1" customWidth="1"/>
    <col min="16" max="16" width="2.5703125" bestFit="1" customWidth="1"/>
    <col min="18" max="18" width="3.7109375" bestFit="1" customWidth="1"/>
    <col min="19" max="19" width="6" customWidth="1"/>
    <col min="20" max="20" width="4.85546875" bestFit="1" customWidth="1"/>
    <col min="21" max="21" width="7.7109375" bestFit="1" customWidth="1"/>
    <col min="22" max="22" width="7.85546875" style="17" customWidth="1"/>
    <col min="24" max="24" width="3.7109375" bestFit="1" customWidth="1"/>
    <col min="25" max="25" width="6" bestFit="1" customWidth="1"/>
    <col min="26" max="27" width="4.85546875" bestFit="1" customWidth="1"/>
    <col min="28" max="28" width="7.7109375" bestFit="1" customWidth="1"/>
    <col min="29" max="29" width="7.85546875" style="17" bestFit="1" customWidth="1"/>
    <col min="30" max="31" width="3.7109375" bestFit="1" customWidth="1"/>
    <col min="32" max="32" width="6" bestFit="1" customWidth="1"/>
    <col min="33" max="33" width="4.85546875" bestFit="1" customWidth="1"/>
    <col min="34" max="34" width="7.42578125" style="17" bestFit="1" customWidth="1"/>
    <col min="35" max="35" width="7.85546875" bestFit="1" customWidth="1"/>
    <col min="36" max="37" width="3.7109375" bestFit="1" customWidth="1"/>
    <col min="38" max="38" width="6" bestFit="1" customWidth="1"/>
    <col min="39" max="39" width="4.85546875" bestFit="1" customWidth="1"/>
    <col min="40" max="40" width="7.42578125" bestFit="1" customWidth="1"/>
    <col min="41" max="41" width="7.85546875" bestFit="1" customWidth="1"/>
  </cols>
  <sheetData>
    <row r="1" spans="1:41" ht="18.75" x14ac:dyDescent="0.3">
      <c r="A1" s="202" t="s">
        <v>2</v>
      </c>
      <c r="B1" s="203">
        <v>2</v>
      </c>
      <c r="K1" s="17"/>
      <c r="L1" s="17"/>
      <c r="M1" s="17"/>
    </row>
    <row r="2" spans="1:41" s="17" customFormat="1" ht="18.75" x14ac:dyDescent="0.3">
      <c r="A2" s="202" t="s">
        <v>4</v>
      </c>
      <c r="B2" s="203">
        <v>4</v>
      </c>
      <c r="N2" s="154"/>
      <c r="O2" s="154"/>
    </row>
    <row r="3" spans="1:41" s="17" customFormat="1" ht="18.75" x14ac:dyDescent="0.3">
      <c r="A3" s="202" t="s">
        <v>0</v>
      </c>
      <c r="B3" s="203">
        <f>(B1^B2 - 1)/2</f>
        <v>7.5</v>
      </c>
      <c r="N3" s="154"/>
      <c r="O3" s="154"/>
    </row>
    <row r="4" spans="1:41" ht="51.75" thickBot="1" x14ac:dyDescent="0.3">
      <c r="A4" s="120" t="s">
        <v>25</v>
      </c>
      <c r="B4" s="120" t="s">
        <v>26</v>
      </c>
      <c r="C4" s="120" t="s">
        <v>28</v>
      </c>
      <c r="D4" s="208" t="s">
        <v>27</v>
      </c>
      <c r="E4" s="121" t="s">
        <v>10</v>
      </c>
      <c r="F4" s="121" t="s">
        <v>9</v>
      </c>
      <c r="G4" s="121" t="s">
        <v>8</v>
      </c>
      <c r="H4" s="121" t="s">
        <v>7</v>
      </c>
      <c r="R4" s="120" t="s">
        <v>28</v>
      </c>
      <c r="S4" s="322" t="s">
        <v>26</v>
      </c>
      <c r="T4" s="323" t="s">
        <v>539</v>
      </c>
      <c r="U4" s="324" t="s">
        <v>537</v>
      </c>
      <c r="X4" s="120" t="s">
        <v>28</v>
      </c>
      <c r="Y4" s="120" t="s">
        <v>26</v>
      </c>
      <c r="Z4" s="254" t="s">
        <v>538</v>
      </c>
      <c r="AA4" s="254" t="s">
        <v>539</v>
      </c>
      <c r="AB4" s="120" t="s">
        <v>537</v>
      </c>
      <c r="AD4" s="17"/>
      <c r="AE4" s="120" t="s">
        <v>28</v>
      </c>
      <c r="AF4" s="322" t="s">
        <v>26</v>
      </c>
      <c r="AG4" s="323" t="s">
        <v>539</v>
      </c>
      <c r="AH4" s="324" t="s">
        <v>537</v>
      </c>
      <c r="AI4" s="17"/>
      <c r="AJ4" s="17"/>
      <c r="AK4" s="120" t="s">
        <v>28</v>
      </c>
      <c r="AL4" s="120" t="s">
        <v>26</v>
      </c>
      <c r="AM4" s="254" t="s">
        <v>539</v>
      </c>
      <c r="AN4" s="120" t="s">
        <v>537</v>
      </c>
    </row>
    <row r="5" spans="1:41" ht="16.5" thickTop="1" thickBot="1" x14ac:dyDescent="0.3">
      <c r="A5" s="139">
        <v>0</v>
      </c>
      <c r="B5" s="139">
        <f>ROUNDUP(t_B2n4_Fixed[[#This Row],[Row]]-$B$3,0)</f>
        <v>-8</v>
      </c>
      <c r="C5" s="12"/>
      <c r="D5" s="1">
        <v>0</v>
      </c>
      <c r="E5" s="20">
        <f>MOD(INT(t_B2n4[[#This Row],[x]]/$B$1^INT(RIGHT(t_B2n4[[#Headers],[b3]],1))),$B$1)</f>
        <v>0</v>
      </c>
      <c r="F5" s="20">
        <f>MOD(INT(t_B2n4[[#This Row],[x]]/$B$1^INT(RIGHT(t_B2n4[[#Headers],[b2]],1))),$B$1)</f>
        <v>0</v>
      </c>
      <c r="G5" s="20">
        <f>MOD(INT(t_B2n4[[#This Row],[x]]/$B$1^INT(RIGHT(t_B2n4[[#Headers],[b1]],1))),$B$1)</f>
        <v>0</v>
      </c>
      <c r="H5" s="20">
        <f>MOD(INT(t_B2n4[[#This Row],[x]]/$B$1^INT(RIGHT(t_B2n4[[#Headers],[b0]],1))),$B$1)</f>
        <v>0</v>
      </c>
      <c r="R5" s="139"/>
      <c r="S5" s="320">
        <f>INDEX(t_B2n4_Fixed[Offset],MATCH($A$5,t_B2n4[x],0),1)</f>
        <v>-8</v>
      </c>
      <c r="T5" s="314">
        <v>0</v>
      </c>
      <c r="U5" s="321" t="s">
        <v>65</v>
      </c>
      <c r="V5" s="27" t="s">
        <v>0</v>
      </c>
      <c r="X5" s="139"/>
      <c r="Y5" s="139">
        <f>INDEX(t_B2n4_Fixed[Offset],MATCH($A$6,t_B2n4[x],0),1)</f>
        <v>-7</v>
      </c>
      <c r="Z5" s="139">
        <v>0</v>
      </c>
      <c r="AA5" s="139">
        <v>1</v>
      </c>
      <c r="AB5" s="258" t="s">
        <v>66</v>
      </c>
      <c r="AD5" s="17"/>
      <c r="AE5" s="139"/>
      <c r="AF5" s="320">
        <f>INDEX(t_B2n4_Fixed[Offset],MATCH($A$10,t_B2n4[x],0),1)</f>
        <v>-3</v>
      </c>
      <c r="AG5" s="314">
        <v>5</v>
      </c>
      <c r="AH5" s="327" t="s">
        <v>70</v>
      </c>
      <c r="AI5" s="27" t="s">
        <v>0</v>
      </c>
      <c r="AJ5" s="17"/>
      <c r="AK5" s="139"/>
      <c r="AL5" s="139">
        <f>INDEX(t_B2n4_Fixed[Offset],MATCH($A$8,t_B2n4[x],0),1)</f>
        <v>-5</v>
      </c>
      <c r="AM5" s="139">
        <v>3</v>
      </c>
      <c r="AN5" s="260" t="s">
        <v>68</v>
      </c>
    </row>
    <row r="6" spans="1:41" ht="15.75" thickBot="1" x14ac:dyDescent="0.3">
      <c r="A6" s="139">
        <v>1</v>
      </c>
      <c r="B6" s="139">
        <f>ROUNDUP(t_B2n4_Fixed[[#This Row],[Row]]-$B$3,0)</f>
        <v>-7</v>
      </c>
      <c r="C6" s="12">
        <f>t_B2n4[[#This Row],[x]]-D5</f>
        <v>1</v>
      </c>
      <c r="D6" s="1">
        <v>1</v>
      </c>
      <c r="E6" s="43">
        <f>MOD(INT(t_B2n4[[#This Row],[x]]/$B$1^INT(RIGHT(t_B2n4[[#Headers],[b3]],1))),$B$1)</f>
        <v>0</v>
      </c>
      <c r="F6" s="43">
        <f>MOD(INT(t_B2n4[[#This Row],[x]]/$B$1^INT(RIGHT(t_B2n4[[#Headers],[b2]],1))),$B$1)</f>
        <v>0</v>
      </c>
      <c r="G6" s="43">
        <f>MOD(INT(t_B2n4[[#This Row],[x]]/$B$1^INT(RIGHT(t_B2n4[[#Headers],[b1]],1))),$B$1)</f>
        <v>0</v>
      </c>
      <c r="H6" s="43">
        <f>MOD(INT(t_B2n4[[#This Row],[x]]/$B$1^INT(RIGHT(t_B2n4[[#Headers],[b0]],1))),$B$1)</f>
        <v>1</v>
      </c>
      <c r="K6" s="34" t="s">
        <v>21</v>
      </c>
      <c r="L6" s="35" t="s">
        <v>5</v>
      </c>
      <c r="R6" s="139">
        <f>t_B2n4_AB1[[#This Row],[Offset]]-S5</f>
        <v>16</v>
      </c>
      <c r="S6" s="325">
        <f>INDEX(t_B2n4_Fixed[Offset],MATCH($A$20,t_B2n4[x],0),1)</f>
        <v>8</v>
      </c>
      <c r="T6" s="317">
        <v>15</v>
      </c>
      <c r="U6" s="326" t="s">
        <v>80</v>
      </c>
      <c r="X6" s="139">
        <f>t_B2n4_AB2[[#This Row],[Offset]]-Y5</f>
        <v>1</v>
      </c>
      <c r="Y6" s="139">
        <f>INDEX(t_B2n4_Fixed[Offset],MATCH($A$7,t_B2n4[x],0),1)</f>
        <v>-6</v>
      </c>
      <c r="Z6" s="139">
        <v>1</v>
      </c>
      <c r="AA6" s="139">
        <v>2</v>
      </c>
      <c r="AB6" s="258" t="s">
        <v>67</v>
      </c>
      <c r="AD6" s="17"/>
      <c r="AE6" s="139">
        <f>t_B2n4_S1[[#This Row],[Offset]]-AF5</f>
        <v>6</v>
      </c>
      <c r="AF6" s="325">
        <f>INDEX(t_B2n4_Fixed[Offset],MATCH($A$15,t_B2n4[x],0),1)</f>
        <v>3</v>
      </c>
      <c r="AG6" s="317">
        <v>10</v>
      </c>
      <c r="AH6" s="328" t="s">
        <v>75</v>
      </c>
      <c r="AI6" s="17"/>
      <c r="AJ6" s="17"/>
      <c r="AK6" s="139">
        <f>t_B2n4_S2[[#This Row],[Offset]]-AL5</f>
        <v>3</v>
      </c>
      <c r="AL6" s="6">
        <f>INDEX(t_B2n4_Fixed[Offset],MATCH($A$11,t_B2n4[x],0),1)</f>
        <v>-2</v>
      </c>
      <c r="AM6" s="6">
        <v>6</v>
      </c>
      <c r="AN6" s="296" t="s">
        <v>71</v>
      </c>
      <c r="AO6" s="27" t="s">
        <v>0</v>
      </c>
    </row>
    <row r="7" spans="1:41" x14ac:dyDescent="0.25">
      <c r="A7" s="139">
        <v>2</v>
      </c>
      <c r="B7" s="139">
        <f>ROUNDUP(t_B2n4_Fixed[[#This Row],[Row]]-$B$3,0)</f>
        <v>-6</v>
      </c>
      <c r="C7" s="12">
        <f>t_B2n4[[#This Row],[x]]-D6</f>
        <v>1</v>
      </c>
      <c r="D7" s="1">
        <v>2</v>
      </c>
      <c r="E7" s="43">
        <f>MOD(INT(t_B2n4[[#This Row],[x]]/$B$1^INT(RIGHT(t_B2n4[[#Headers],[b3]],1))),$B$1)</f>
        <v>0</v>
      </c>
      <c r="F7" s="43">
        <f>MOD(INT(t_B2n4[[#This Row],[x]]/$B$1^INT(RIGHT(t_B2n4[[#Headers],[b2]],1))),$B$1)</f>
        <v>0</v>
      </c>
      <c r="G7" s="43">
        <f>MOD(INT(t_B2n4[[#This Row],[x]]/$B$1^INT(RIGHT(t_B2n4[[#Headers],[b1]],1))),$B$1)</f>
        <v>1</v>
      </c>
      <c r="H7" s="43">
        <f>MOD(INT(t_B2n4[[#This Row],[x]]/$B$1^INT(RIGHT(t_B2n4[[#Headers],[b0]],1))),$B$1)</f>
        <v>0</v>
      </c>
      <c r="K7" s="32" t="s">
        <v>13</v>
      </c>
      <c r="L7" s="33">
        <v>1</v>
      </c>
      <c r="N7" s="219" t="s">
        <v>33</v>
      </c>
      <c r="O7" s="220" t="s">
        <v>34</v>
      </c>
      <c r="R7" s="17"/>
      <c r="S7" s="17"/>
      <c r="T7" s="17"/>
      <c r="U7" s="17"/>
      <c r="X7" s="139">
        <f>t_B2n4_AB2[[#This Row],[Offset]]-Y6</f>
        <v>2</v>
      </c>
      <c r="Y7" s="139">
        <f>INDEX(t_B2n4_Fixed[Offset],MATCH($A$9,t_B2n4[x],0),1)</f>
        <v>-4</v>
      </c>
      <c r="Z7" s="139">
        <v>2</v>
      </c>
      <c r="AA7" s="139">
        <v>4</v>
      </c>
      <c r="AB7" s="258" t="s">
        <v>69</v>
      </c>
      <c r="AD7" s="17"/>
      <c r="AE7" s="17"/>
      <c r="AF7" s="17"/>
      <c r="AG7" s="17"/>
      <c r="AI7" s="17"/>
      <c r="AJ7" s="17"/>
      <c r="AK7" s="139">
        <f>t_B2n4_S2[[#This Row],[Offset]]-AL6</f>
        <v>4</v>
      </c>
      <c r="AL7" s="139">
        <f>INDEX(t_B2n4_Fixed[Offset],MATCH($A$14,t_B2n4[x],0),1)</f>
        <v>2</v>
      </c>
      <c r="AM7" s="139">
        <v>9</v>
      </c>
      <c r="AN7" s="260" t="s">
        <v>74</v>
      </c>
    </row>
    <row r="8" spans="1:41" ht="15.75" thickBot="1" x14ac:dyDescent="0.3">
      <c r="A8" s="139">
        <v>3</v>
      </c>
      <c r="B8" s="139">
        <f>ROUNDUP(t_B2n4_Fixed[[#This Row],[Row]]-$B$3,0)</f>
        <v>-5</v>
      </c>
      <c r="C8" s="12">
        <f>t_B2n4[[#This Row],[x]]-D7</f>
        <v>1</v>
      </c>
      <c r="D8" s="9">
        <v>3</v>
      </c>
      <c r="E8" s="45">
        <f>MOD(INT(t_B2n4[[#This Row],[x]]/$B$1^INT(RIGHT(t_B2n4[[#Headers],[b3]],1))),$B$1)</f>
        <v>0</v>
      </c>
      <c r="F8" s="45">
        <f>MOD(INT(t_B2n4[[#This Row],[x]]/$B$1^INT(RIGHT(t_B2n4[[#Headers],[b2]],1))),$B$1)</f>
        <v>0</v>
      </c>
      <c r="G8" s="45">
        <f>MOD(INT(t_B2n4[[#This Row],[x]]/$B$1^INT(RIGHT(t_B2n4[[#Headers],[b1]],1))),$B$1)</f>
        <v>1</v>
      </c>
      <c r="H8" s="45">
        <f>MOD(INT(t_B2n4[[#This Row],[x]]/$B$1^INT(RIGHT(t_B2n4[[#Headers],[b0]],1))),$B$1)</f>
        <v>1</v>
      </c>
      <c r="K8" s="30" t="s">
        <v>14</v>
      </c>
      <c r="L8" s="31">
        <v>1</v>
      </c>
      <c r="N8" s="221" t="s">
        <v>36</v>
      </c>
      <c r="O8" s="222" t="s">
        <v>37</v>
      </c>
      <c r="R8" s="17"/>
      <c r="S8" s="17"/>
      <c r="T8" s="17"/>
      <c r="U8" s="17"/>
      <c r="X8" s="139">
        <f>t_B2n4_AB2[[#This Row],[Offset]]-Y7</f>
        <v>3</v>
      </c>
      <c r="Y8" s="6">
        <f>INDEX(t_B2n4_Fixed[Offset],MATCH($A$12,t_B2n4[x],0),1)</f>
        <v>-1</v>
      </c>
      <c r="Z8" s="6">
        <v>4</v>
      </c>
      <c r="AA8" s="6">
        <v>7</v>
      </c>
      <c r="AB8" s="319" t="s">
        <v>72</v>
      </c>
      <c r="AC8" s="27" t="s">
        <v>0</v>
      </c>
      <c r="AD8" s="17"/>
      <c r="AE8" s="17"/>
      <c r="AF8" s="17"/>
      <c r="AG8" s="17"/>
      <c r="AI8" s="17"/>
      <c r="AJ8" s="17"/>
      <c r="AK8" s="139">
        <f>t_B2n4_S2[[#This Row],[Offset]]-AL7</f>
        <v>3</v>
      </c>
      <c r="AL8" s="139">
        <f>INDEX(t_B2n4_Fixed[Offset],MATCH($A$17,t_B2n4[x],0),1)</f>
        <v>5</v>
      </c>
      <c r="AM8" s="139">
        <v>12</v>
      </c>
      <c r="AN8" s="260" t="s">
        <v>77</v>
      </c>
    </row>
    <row r="9" spans="1:41" x14ac:dyDescent="0.25">
      <c r="A9" s="139">
        <v>4</v>
      </c>
      <c r="B9" s="139">
        <f>ROUNDUP(t_B2n4_Fixed[[#This Row],[Row]]-$B$3,0)</f>
        <v>-4</v>
      </c>
      <c r="C9" s="12">
        <f>t_B2n4[[#This Row],[x]]-D8</f>
        <v>1</v>
      </c>
      <c r="D9" s="1">
        <v>4</v>
      </c>
      <c r="E9" s="43">
        <f>MOD(INT(t_B2n4[[#This Row],[x]]/$B$1^INT(RIGHT(t_B2n4[[#Headers],[b3]],1))),$B$1)</f>
        <v>0</v>
      </c>
      <c r="F9" s="43">
        <f>MOD(INT(t_B2n4[[#This Row],[x]]/$B$1^INT(RIGHT(t_B2n4[[#Headers],[b2]],1))),$B$1)</f>
        <v>1</v>
      </c>
      <c r="G9" s="43">
        <f>MOD(INT(t_B2n4[[#This Row],[x]]/$B$1^INT(RIGHT(t_B2n4[[#Headers],[b1]],1))),$B$1)</f>
        <v>0</v>
      </c>
      <c r="H9" s="43">
        <f>MOD(INT(t_B2n4[[#This Row],[x]]/$B$1^INT(RIGHT(t_B2n4[[#Headers],[b0]],1))),$B$1)</f>
        <v>0</v>
      </c>
      <c r="K9" s="30" t="s">
        <v>23</v>
      </c>
      <c r="L9" s="31">
        <v>1</v>
      </c>
      <c r="N9" s="223" t="s">
        <v>35</v>
      </c>
      <c r="O9" s="233"/>
      <c r="R9" s="17"/>
      <c r="S9" s="17"/>
      <c r="T9" s="17"/>
      <c r="U9" s="17"/>
      <c r="X9" s="139">
        <f>t_B2n4_AB2[[#This Row],[Offset]]-Y8</f>
        <v>2</v>
      </c>
      <c r="Y9" s="139">
        <f>INDEX(t_B2n4_Fixed[Offset],MATCH($A$13,t_B2n4[x],0),1)</f>
        <v>1</v>
      </c>
      <c r="Z9" s="139">
        <v>3</v>
      </c>
      <c r="AA9" s="139">
        <v>8</v>
      </c>
      <c r="AB9" s="258" t="s">
        <v>73</v>
      </c>
      <c r="AD9" s="17"/>
      <c r="AE9" s="17"/>
      <c r="AF9" s="17"/>
      <c r="AG9" s="17"/>
      <c r="AI9" s="17"/>
      <c r="AJ9" s="17"/>
      <c r="AK9" s="17"/>
      <c r="AL9" s="17"/>
      <c r="AM9" s="17"/>
      <c r="AN9" s="17"/>
    </row>
    <row r="10" spans="1:41" ht="15.75" thickBot="1" x14ac:dyDescent="0.3">
      <c r="A10" s="139">
        <v>5</v>
      </c>
      <c r="B10" s="139">
        <f>ROUNDUP(t_B2n4_Fixed[[#This Row],[Row]]-$B$3,0)</f>
        <v>-3</v>
      </c>
      <c r="C10" s="12">
        <f>t_B2n4[[#This Row],[x]]-D9</f>
        <v>1</v>
      </c>
      <c r="D10" s="1">
        <v>5</v>
      </c>
      <c r="E10" s="167">
        <f>MOD(INT(t_B2n4[[#This Row],[x]]/$B$1^INT(RIGHT(t_B2n4[[#Headers],[b3]],1))),$B$1)</f>
        <v>0</v>
      </c>
      <c r="F10" s="167">
        <f>MOD(INT(t_B2n4[[#This Row],[x]]/$B$1^INT(RIGHT(t_B2n4[[#Headers],[b2]],1))),$B$1)</f>
        <v>1</v>
      </c>
      <c r="G10" s="167">
        <f>MOD(INT(t_B2n4[[#This Row],[x]]/$B$1^INT(RIGHT(t_B2n4[[#Headers],[b1]],1))),$B$1)</f>
        <v>0</v>
      </c>
      <c r="H10" s="167">
        <f>MOD(INT(t_B2n4[[#This Row],[x]]/$B$1^INT(RIGHT(t_B2n4[[#Headers],[b0]],1))),$B$1)</f>
        <v>1</v>
      </c>
      <c r="K10" s="36" t="s">
        <v>22</v>
      </c>
      <c r="L10" s="37">
        <v>1</v>
      </c>
      <c r="N10" s="224" t="s">
        <v>38</v>
      </c>
      <c r="O10" s="234"/>
      <c r="R10" s="17"/>
      <c r="S10" s="17"/>
      <c r="T10" s="17"/>
      <c r="U10" s="17"/>
      <c r="X10" s="139">
        <f>t_B2n4_AB2[[#This Row],[Offset]]-Y9</f>
        <v>3</v>
      </c>
      <c r="Y10" s="139">
        <f>INDEX(t_B2n4_Fixed[Offset],MATCH($A$16,t_B2n4[x],0),1)</f>
        <v>4</v>
      </c>
      <c r="Z10" s="139">
        <v>5</v>
      </c>
      <c r="AA10" s="139">
        <v>11</v>
      </c>
      <c r="AB10" s="259" t="s">
        <v>76</v>
      </c>
      <c r="AD10" s="17"/>
      <c r="AE10" s="17"/>
      <c r="AF10" s="17"/>
      <c r="AG10" s="17"/>
      <c r="AI10" s="17"/>
      <c r="AJ10" s="17"/>
      <c r="AK10" s="17"/>
      <c r="AL10" s="17"/>
      <c r="AM10" s="17"/>
      <c r="AN10" s="17"/>
    </row>
    <row r="11" spans="1:41" x14ac:dyDescent="0.25">
      <c r="A11" s="139">
        <v>6</v>
      </c>
      <c r="B11" s="139">
        <f>ROUNDUP(t_B2n4_Fixed[[#This Row],[Row]]-$B$3,0)</f>
        <v>-2</v>
      </c>
      <c r="C11" s="12">
        <f>t_B2n4[[#This Row],[x]]-D10</f>
        <v>1</v>
      </c>
      <c r="D11" s="1">
        <v>6</v>
      </c>
      <c r="E11" s="45">
        <f>MOD(INT(t_B2n4[[#This Row],[x]]/$B$1^INT(RIGHT(t_B2n4[[#Headers],[b3]],1))),$B$1)</f>
        <v>0</v>
      </c>
      <c r="F11" s="45">
        <f>MOD(INT(t_B2n4[[#This Row],[x]]/$B$1^INT(RIGHT(t_B2n4[[#Headers],[b2]],1))),$B$1)</f>
        <v>1</v>
      </c>
      <c r="G11" s="45">
        <f>MOD(INT(t_B2n4[[#This Row],[x]]/$B$1^INT(RIGHT(t_B2n4[[#Headers],[b1]],1))),$B$1)</f>
        <v>1</v>
      </c>
      <c r="H11" s="45">
        <f>MOD(INT(t_B2n4[[#This Row],[x]]/$B$1^INT(RIGHT(t_B2n4[[#Headers],[b0]],1))),$B$1)</f>
        <v>0</v>
      </c>
      <c r="K11" s="113" t="s">
        <v>15</v>
      </c>
      <c r="L11" s="114">
        <f>SUM(L7:L10)</f>
        <v>4</v>
      </c>
      <c r="O11" s="235"/>
      <c r="R11" s="17"/>
      <c r="S11" s="17"/>
      <c r="T11" s="17"/>
      <c r="U11" s="17"/>
      <c r="X11" s="139">
        <f>t_B2n4_AB2[[#This Row],[Offset]]-Y10</f>
        <v>2</v>
      </c>
      <c r="Y11" s="139">
        <f>INDEX(t_B2n4_Fixed[Offset],MATCH($A$18,t_B2n4[x],0),1)</f>
        <v>6</v>
      </c>
      <c r="Z11" s="139">
        <v>6</v>
      </c>
      <c r="AA11" s="139">
        <v>13</v>
      </c>
      <c r="AB11" s="259" t="s">
        <v>78</v>
      </c>
      <c r="AD11" s="17"/>
      <c r="AE11" s="17"/>
      <c r="AF11" s="17"/>
      <c r="AG11" s="17"/>
      <c r="AI11" s="17"/>
      <c r="AJ11" s="17"/>
      <c r="AK11" s="17"/>
      <c r="AL11" s="17"/>
      <c r="AM11" s="17"/>
      <c r="AN11" s="17"/>
    </row>
    <row r="12" spans="1:41" ht="15.75" thickBot="1" x14ac:dyDescent="0.3">
      <c r="A12" s="6">
        <v>7</v>
      </c>
      <c r="B12" s="6">
        <f>ROUNDUP(t_B2n4_Fixed[[#This Row],[Row]]-$B$3,0)</f>
        <v>-1</v>
      </c>
      <c r="C12" s="7">
        <f>t_B2n4[[#This Row],[x]]-D11</f>
        <v>1</v>
      </c>
      <c r="D12" s="6">
        <v>7</v>
      </c>
      <c r="E12" s="166">
        <f>MOD(INT(t_B2n4[[#This Row],[x]]/$B$1^INT(RIGHT(t_B2n4[[#Headers],[b3]],1))),$B$1)</f>
        <v>0</v>
      </c>
      <c r="F12" s="166">
        <f>MOD(INT(t_B2n4[[#This Row],[x]]/$B$1^INT(RIGHT(t_B2n4[[#Headers],[b2]],1))),$B$1)</f>
        <v>1</v>
      </c>
      <c r="G12" s="166">
        <f>MOD(INT(t_B2n4[[#This Row],[x]]/$B$1^INT(RIGHT(t_B2n4[[#Headers],[b1]],1))),$B$1)</f>
        <v>1</v>
      </c>
      <c r="H12" s="166">
        <f>MOD(INT(t_B2n4[[#This Row],[x]]/$B$1^INT(RIGHT(t_B2n4[[#Headers],[b0]],1))),$B$1)</f>
        <v>1</v>
      </c>
      <c r="I12" s="27" t="s">
        <v>0</v>
      </c>
      <c r="K12" s="115" t="s">
        <v>16</v>
      </c>
      <c r="L12" s="116">
        <v>6</v>
      </c>
      <c r="R12" s="17"/>
      <c r="S12" s="17"/>
      <c r="T12" s="17"/>
      <c r="U12" s="17"/>
      <c r="X12" s="139">
        <f>t_B2n4_AB2[[#This Row],[Offset]]-Y11</f>
        <v>1</v>
      </c>
      <c r="Y12" s="139">
        <f>INDEX(t_B2n4_Fixed[Offset],MATCH($A$19,t_B2n4[x],0),1)</f>
        <v>7</v>
      </c>
      <c r="Z12" s="139">
        <v>7</v>
      </c>
      <c r="AA12" s="139">
        <v>14</v>
      </c>
      <c r="AB12" s="259" t="s">
        <v>79</v>
      </c>
      <c r="AD12" s="17"/>
      <c r="AE12" s="17"/>
      <c r="AF12" s="17"/>
      <c r="AG12" s="17"/>
      <c r="AI12" s="17"/>
      <c r="AJ12" s="17"/>
      <c r="AK12" s="17"/>
      <c r="AL12" s="17"/>
      <c r="AM12" s="17"/>
      <c r="AN12" s="17"/>
    </row>
    <row r="13" spans="1:41" x14ac:dyDescent="0.25">
      <c r="A13" s="139">
        <v>8</v>
      </c>
      <c r="B13" s="139">
        <f>ROUNDUP(t_B2n4_Fixed[[#This Row],[Row]]-$B$3,0)</f>
        <v>1</v>
      </c>
      <c r="C13" s="12">
        <f>t_B2n4[[#This Row],[x]]-D12</f>
        <v>1</v>
      </c>
      <c r="D13" s="1">
        <v>8</v>
      </c>
      <c r="E13" s="43">
        <f>MOD(INT(t_B2n4[[#This Row],[x]]/$B$1^INT(RIGHT(t_B2n4[[#Headers],[b3]],1))),$B$1)</f>
        <v>1</v>
      </c>
      <c r="F13" s="43">
        <f>MOD(INT(t_B2n4[[#This Row],[x]]/$B$1^INT(RIGHT(t_B2n4[[#Headers],[b2]],1))),$B$1)</f>
        <v>0</v>
      </c>
      <c r="G13" s="43">
        <f>MOD(INT(t_B2n4[[#This Row],[x]]/$B$1^INT(RIGHT(t_B2n4[[#Headers],[b1]],1))),$B$1)</f>
        <v>0</v>
      </c>
      <c r="H13" s="43">
        <f>MOD(INT(t_B2n4[[#This Row],[x]]/$B$1^INT(RIGHT(t_B2n4[[#Headers],[b0]],1))),$B$1)</f>
        <v>0</v>
      </c>
      <c r="L13" s="17"/>
    </row>
    <row r="14" spans="1:41" x14ac:dyDescent="0.25">
      <c r="A14" s="139">
        <v>9</v>
      </c>
      <c r="B14" s="139">
        <f>ROUNDUP(t_B2n4_Fixed[[#This Row],[Row]]-$B$3,0)</f>
        <v>2</v>
      </c>
      <c r="C14" s="12">
        <f>t_B2n4[[#This Row],[x]]-D13</f>
        <v>1</v>
      </c>
      <c r="D14" s="1">
        <v>9</v>
      </c>
      <c r="E14" s="45">
        <f>MOD(INT(t_B2n4[[#This Row],[x]]/$B$1^INT(RIGHT(t_B2n4[[#Headers],[b3]],1))),$B$1)</f>
        <v>1</v>
      </c>
      <c r="F14" s="45">
        <f>MOD(INT(t_B2n4[[#This Row],[x]]/$B$1^INT(RIGHT(t_B2n4[[#Headers],[b2]],1))),$B$1)</f>
        <v>0</v>
      </c>
      <c r="G14" s="45">
        <f>MOD(INT(t_B2n4[[#This Row],[x]]/$B$1^INT(RIGHT(t_B2n4[[#Headers],[b1]],1))),$B$1)</f>
        <v>0</v>
      </c>
      <c r="H14" s="45">
        <f>MOD(INT(t_B2n4[[#This Row],[x]]/$B$1^INT(RIGHT(t_B2n4[[#Headers],[b0]],1))),$B$1)</f>
        <v>1</v>
      </c>
      <c r="L14" s="17"/>
    </row>
    <row r="15" spans="1:41" x14ac:dyDescent="0.25">
      <c r="A15" s="139">
        <v>10</v>
      </c>
      <c r="B15" s="139">
        <f>ROUNDUP(t_B2n4_Fixed[[#This Row],[Row]]-$B$3,0)</f>
        <v>3</v>
      </c>
      <c r="C15" s="12">
        <f>t_B2n4[[#This Row],[x]]-D14</f>
        <v>1</v>
      </c>
      <c r="D15" s="1">
        <v>10</v>
      </c>
      <c r="E15" s="167">
        <f>MOD(INT(t_B2n4[[#This Row],[x]]/$B$1^INT(RIGHT(t_B2n4[[#Headers],[b3]],1))),$B$1)</f>
        <v>1</v>
      </c>
      <c r="F15" s="167">
        <f>MOD(INT(t_B2n4[[#This Row],[x]]/$B$1^INT(RIGHT(t_B2n4[[#Headers],[b2]],1))),$B$1)</f>
        <v>0</v>
      </c>
      <c r="G15" s="167">
        <f>MOD(INT(t_B2n4[[#This Row],[x]]/$B$1^INT(RIGHT(t_B2n4[[#Headers],[b1]],1))),$B$1)</f>
        <v>1</v>
      </c>
      <c r="H15" s="167">
        <f>MOD(INT(t_B2n4[[#This Row],[x]]/$B$1^INT(RIGHT(t_B2n4[[#Headers],[b0]],1))),$B$1)</f>
        <v>0</v>
      </c>
      <c r="L15" s="17"/>
    </row>
    <row r="16" spans="1:41" x14ac:dyDescent="0.25">
      <c r="A16" s="139">
        <v>11</v>
      </c>
      <c r="B16" s="139">
        <f>ROUNDUP(t_B2n4_Fixed[[#This Row],[Row]]-$B$3,0)</f>
        <v>4</v>
      </c>
      <c r="C16" s="12">
        <f>t_B2n4[[#This Row],[x]]-D15</f>
        <v>1</v>
      </c>
      <c r="D16" s="139">
        <v>11</v>
      </c>
      <c r="E16" s="55">
        <f>MOD(INT(t_B2n4[[#This Row],[x]]/$B$1^INT(RIGHT(t_B2n4[[#Headers],[b3]],1))),$B$1)</f>
        <v>1</v>
      </c>
      <c r="F16" s="55">
        <f>MOD(INT(t_B2n4[[#This Row],[x]]/$B$1^INT(RIGHT(t_B2n4[[#Headers],[b2]],1))),$B$1)</f>
        <v>0</v>
      </c>
      <c r="G16" s="55">
        <f>MOD(INT(t_B2n4[[#This Row],[x]]/$B$1^INT(RIGHT(t_B2n4[[#Headers],[b1]],1))),$B$1)</f>
        <v>1</v>
      </c>
      <c r="H16" s="55">
        <f>MOD(INT(t_B2n4[[#This Row],[x]]/$B$1^INT(RIGHT(t_B2n4[[#Headers],[b0]],1))),$B$1)</f>
        <v>1</v>
      </c>
      <c r="L16" s="17"/>
    </row>
    <row r="17" spans="1:90" x14ac:dyDescent="0.25">
      <c r="A17" s="139">
        <v>12</v>
      </c>
      <c r="B17" s="139">
        <f>ROUNDUP(t_B2n4_Fixed[[#This Row],[Row]]-$B$3,0)</f>
        <v>5</v>
      </c>
      <c r="C17" s="12">
        <f>t_B2n4[[#This Row],[x]]-D16</f>
        <v>1</v>
      </c>
      <c r="D17" s="1">
        <v>12</v>
      </c>
      <c r="E17" s="45">
        <f>MOD(INT(t_B2n4[[#This Row],[x]]/$B$1^INT(RIGHT(t_B2n4[[#Headers],[b3]],1))),$B$1)</f>
        <v>1</v>
      </c>
      <c r="F17" s="45">
        <f>MOD(INT(t_B2n4[[#This Row],[x]]/$B$1^INT(RIGHT(t_B2n4[[#Headers],[b2]],1))),$B$1)</f>
        <v>1</v>
      </c>
      <c r="G17" s="45">
        <f>MOD(INT(t_B2n4[[#This Row],[x]]/$B$1^INT(RIGHT(t_B2n4[[#Headers],[b1]],1))),$B$1)</f>
        <v>0</v>
      </c>
      <c r="H17" s="45">
        <f>MOD(INT(t_B2n4[[#This Row],[x]]/$B$1^INT(RIGHT(t_B2n4[[#Headers],[b0]],1))),$B$1)</f>
        <v>0</v>
      </c>
      <c r="L17" s="17"/>
      <c r="R17" s="17"/>
      <c r="S17" s="17"/>
      <c r="T17" s="17"/>
      <c r="U17" s="17"/>
      <c r="W17" s="17"/>
      <c r="X17" s="17"/>
      <c r="Y17" s="17"/>
      <c r="Z17" s="17"/>
      <c r="AA17" s="17"/>
      <c r="AB17" s="17"/>
      <c r="AD17" s="17"/>
      <c r="AE17" s="17"/>
      <c r="AF17" s="17"/>
      <c r="AG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row>
    <row r="18" spans="1:90" x14ac:dyDescent="0.25">
      <c r="A18" s="139">
        <v>13</v>
      </c>
      <c r="B18" s="139">
        <f>ROUNDUP(t_B2n4_Fixed[[#This Row],[Row]]-$B$3,0)</f>
        <v>6</v>
      </c>
      <c r="C18" s="12">
        <f>t_B2n4[[#This Row],[x]]-D17</f>
        <v>1</v>
      </c>
      <c r="D18" s="139">
        <v>13</v>
      </c>
      <c r="E18" s="55">
        <f>MOD(INT(t_B2n4[[#This Row],[x]]/$B$1^INT(RIGHT(t_B2n4[[#Headers],[b3]],1))),$B$1)</f>
        <v>1</v>
      </c>
      <c r="F18" s="55">
        <f>MOD(INT(t_B2n4[[#This Row],[x]]/$B$1^INT(RIGHT(t_B2n4[[#Headers],[b2]],1))),$B$1)</f>
        <v>1</v>
      </c>
      <c r="G18" s="55">
        <f>MOD(INT(t_B2n4[[#This Row],[x]]/$B$1^INT(RIGHT(t_B2n4[[#Headers],[b1]],1))),$B$1)</f>
        <v>0</v>
      </c>
      <c r="H18" s="55">
        <f>MOD(INT(t_B2n4[[#This Row],[x]]/$B$1^INT(RIGHT(t_B2n4[[#Headers],[b0]],1))),$B$1)</f>
        <v>1</v>
      </c>
      <c r="L18" s="17"/>
      <c r="R18" s="17"/>
      <c r="S18" s="17"/>
      <c r="T18" s="17"/>
      <c r="U18" s="17"/>
      <c r="W18" s="17"/>
      <c r="X18" s="17"/>
      <c r="Y18" s="17"/>
      <c r="Z18" s="17"/>
      <c r="AA18" s="17"/>
      <c r="AB18" s="17"/>
      <c r="AD18" s="17"/>
      <c r="AE18" s="17"/>
      <c r="AF18" s="17"/>
      <c r="AG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row>
    <row r="19" spans="1:90" x14ac:dyDescent="0.25">
      <c r="A19" s="139">
        <v>14</v>
      </c>
      <c r="B19" s="139">
        <f>ROUNDUP(t_B2n4_Fixed[[#This Row],[Row]]-$B$3,0)</f>
        <v>7</v>
      </c>
      <c r="C19" s="12">
        <f>t_B2n4[[#This Row],[x]]-D18</f>
        <v>1</v>
      </c>
      <c r="D19" s="139">
        <v>14</v>
      </c>
      <c r="E19" s="55">
        <f>MOD(INT(t_B2n4[[#This Row],[x]]/$B$1^INT(RIGHT(t_B2n4[[#Headers],[b3]],1))),$B$1)</f>
        <v>1</v>
      </c>
      <c r="F19" s="55">
        <f>MOD(INT(t_B2n4[[#This Row],[x]]/$B$1^INT(RIGHT(t_B2n4[[#Headers],[b2]],1))),$B$1)</f>
        <v>1</v>
      </c>
      <c r="G19" s="55">
        <f>MOD(INT(t_B2n4[[#This Row],[x]]/$B$1^INT(RIGHT(t_B2n4[[#Headers],[b1]],1))),$B$1)</f>
        <v>1</v>
      </c>
      <c r="H19" s="55">
        <f>MOD(INT(t_B2n4[[#This Row],[x]]/$B$1^INT(RIGHT(t_B2n4[[#Headers],[b0]],1))),$B$1)</f>
        <v>0</v>
      </c>
      <c r="L19" s="17"/>
      <c r="R19" s="17"/>
      <c r="S19" s="17"/>
      <c r="T19" s="17"/>
      <c r="U19" s="17"/>
      <c r="W19" s="17"/>
      <c r="X19" s="17"/>
      <c r="Y19" s="17"/>
      <c r="Z19" s="17"/>
      <c r="AA19" s="17"/>
      <c r="AB19" s="17"/>
      <c r="AD19" s="17"/>
      <c r="AE19" s="17"/>
      <c r="AF19" s="17"/>
      <c r="AG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row>
    <row r="20" spans="1:90" x14ac:dyDescent="0.25">
      <c r="A20" s="139">
        <v>15</v>
      </c>
      <c r="B20" s="139">
        <f>ROUNDUP(t_B2n4_Fixed[[#This Row],[Row]]-$B$3,0)</f>
        <v>8</v>
      </c>
      <c r="C20" s="12">
        <f>t_B2n4[[#This Row],[x]]-D19</f>
        <v>1</v>
      </c>
      <c r="D20" s="9">
        <v>15</v>
      </c>
      <c r="E20" s="76">
        <f>MOD(INT(t_B2n4[[#This Row],[x]]/$B$1^INT(RIGHT(t_B2n4[[#Headers],[b3]],1))),$B$1)</f>
        <v>1</v>
      </c>
      <c r="F20" s="76">
        <f>MOD(INT(t_B2n4[[#This Row],[x]]/$B$1^INT(RIGHT(t_B2n4[[#Headers],[b2]],1))),$B$1)</f>
        <v>1</v>
      </c>
      <c r="G20" s="76">
        <f>MOD(INT(t_B2n4[[#This Row],[x]]/$B$1^INT(RIGHT(t_B2n4[[#Headers],[b1]],1))),$B$1)</f>
        <v>1</v>
      </c>
      <c r="H20" s="76">
        <f>MOD(INT(t_B2n4[[#This Row],[x]]/$B$1^INT(RIGHT(t_B2n4[[#Headers],[b0]],1))),$B$1)</f>
        <v>1</v>
      </c>
      <c r="L20" s="17"/>
      <c r="R20" s="17"/>
      <c r="S20" s="17"/>
      <c r="T20" s="17"/>
      <c r="U20" s="17"/>
      <c r="W20" s="17"/>
      <c r="X20" s="17"/>
      <c r="Y20" s="17"/>
      <c r="Z20" s="17"/>
      <c r="AA20" s="17"/>
      <c r="AB20" s="17"/>
      <c r="AD20" s="17"/>
      <c r="AE20" s="17"/>
      <c r="AF20" s="17"/>
      <c r="AG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row>
    <row r="21" spans="1:90" x14ac:dyDescent="0.25">
      <c r="A21" s="197" t="s">
        <v>1</v>
      </c>
      <c r="B21" s="139"/>
      <c r="C21">
        <f>SUBTOTAL(109,t_B2n4_Fixed[Interval])</f>
        <v>15</v>
      </c>
      <c r="D21" t="s">
        <v>1</v>
      </c>
      <c r="E21">
        <f>SUBTOTAL(109,t_B2n4[b3])</f>
        <v>8</v>
      </c>
      <c r="F21">
        <f>SUBTOTAL(109,t_B2n4[b2])</f>
        <v>8</v>
      </c>
      <c r="G21">
        <f>SUBTOTAL(109,t_B2n4[b1])</f>
        <v>8</v>
      </c>
      <c r="H21">
        <f>SUBTOTAL(109,t_B2n4[b0])</f>
        <v>8</v>
      </c>
      <c r="L21" s="17"/>
      <c r="R21" s="17"/>
      <c r="S21" s="17"/>
      <c r="T21" s="17"/>
      <c r="U21" s="17"/>
      <c r="W21" s="17"/>
      <c r="X21" s="17"/>
      <c r="Y21" s="17"/>
      <c r="Z21" s="17"/>
      <c r="AA21" s="17"/>
      <c r="AB21" s="17"/>
      <c r="AD21" s="17"/>
      <c r="AE21" s="17"/>
      <c r="AF21" s="17"/>
      <c r="AG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row>
    <row r="22" spans="1:90" x14ac:dyDescent="0.25">
      <c r="K22" s="17"/>
      <c r="R22" s="17"/>
      <c r="S22" s="17"/>
      <c r="T22" s="17"/>
      <c r="U22" s="17"/>
      <c r="W22" s="17"/>
      <c r="X22" s="17"/>
      <c r="Y22" s="17"/>
      <c r="Z22" s="17"/>
      <c r="AA22" s="17"/>
      <c r="AB22" s="17"/>
      <c r="AD22" s="17"/>
      <c r="AE22" s="17"/>
      <c r="AF22" s="17"/>
      <c r="AG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row>
    <row r="23" spans="1:90" x14ac:dyDescent="0.25">
      <c r="C23" s="16"/>
      <c r="D23" s="16"/>
      <c r="E23" s="16"/>
      <c r="F23" s="16"/>
      <c r="G23" s="16"/>
      <c r="K23" s="17"/>
      <c r="R23" s="17"/>
      <c r="S23" s="17"/>
      <c r="T23" s="17"/>
      <c r="U23" s="17"/>
      <c r="W23" s="17"/>
      <c r="X23" s="17"/>
      <c r="Y23" s="17"/>
      <c r="Z23" s="17"/>
      <c r="AA23" s="17"/>
      <c r="AB23" s="17"/>
      <c r="AD23" s="17"/>
      <c r="AE23" s="17"/>
      <c r="AF23" s="17"/>
      <c r="AG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row>
    <row r="24" spans="1:90" x14ac:dyDescent="0.25">
      <c r="C24" s="16"/>
      <c r="D24" s="16"/>
      <c r="E24" s="16"/>
      <c r="F24" s="16"/>
      <c r="G24" s="16"/>
      <c r="K24" s="17"/>
    </row>
    <row r="25" spans="1:90" x14ac:dyDescent="0.25">
      <c r="B25" s="2"/>
      <c r="C25" s="2"/>
      <c r="D25" s="2"/>
      <c r="E25" s="2"/>
      <c r="F25" s="2"/>
      <c r="G25" s="2"/>
      <c r="H25" s="2"/>
      <c r="K25" s="17"/>
    </row>
    <row r="26" spans="1:90" x14ac:dyDescent="0.25">
      <c r="B26" s="2"/>
      <c r="C26" s="29"/>
      <c r="D26" s="10"/>
      <c r="E26" s="10"/>
      <c r="F26" s="10"/>
      <c r="G26" s="10"/>
      <c r="H26" s="2"/>
    </row>
    <row r="27" spans="1:90" x14ac:dyDescent="0.25">
      <c r="B27" s="2"/>
      <c r="C27" s="29"/>
      <c r="D27" s="10"/>
      <c r="E27" s="10"/>
      <c r="F27" s="10"/>
      <c r="G27" s="10"/>
      <c r="H27" s="2"/>
    </row>
    <row r="28" spans="1:90" x14ac:dyDescent="0.25">
      <c r="B28" s="2"/>
      <c r="C28" s="29"/>
      <c r="D28" s="10"/>
      <c r="E28" s="10"/>
      <c r="F28" s="10"/>
      <c r="G28" s="10"/>
      <c r="H28" s="2"/>
    </row>
    <row r="29" spans="1:90" x14ac:dyDescent="0.25">
      <c r="B29" s="2"/>
      <c r="C29" s="29"/>
      <c r="D29" s="10"/>
      <c r="E29" s="10"/>
      <c r="F29" s="10"/>
      <c r="G29" s="10"/>
      <c r="H29" s="2"/>
    </row>
    <row r="30" spans="1:90" x14ac:dyDescent="0.25">
      <c r="B30" s="2"/>
      <c r="C30" s="29"/>
      <c r="D30" s="10"/>
      <c r="E30" s="10"/>
      <c r="F30" s="10"/>
      <c r="G30" s="10"/>
      <c r="H30" s="2"/>
    </row>
    <row r="31" spans="1:90" x14ac:dyDescent="0.25">
      <c r="B31" s="2"/>
      <c r="C31" s="29"/>
      <c r="D31" s="10"/>
      <c r="E31" s="10"/>
      <c r="F31" s="10"/>
      <c r="G31" s="10"/>
      <c r="H31" s="2"/>
    </row>
    <row r="32" spans="1:90" x14ac:dyDescent="0.25">
      <c r="B32" s="2"/>
      <c r="C32" s="29"/>
      <c r="D32" s="10"/>
      <c r="E32" s="10"/>
      <c r="F32" s="10"/>
      <c r="G32" s="10"/>
      <c r="H32" s="2"/>
    </row>
    <row r="33" spans="2:8" x14ac:dyDescent="0.25">
      <c r="B33" s="2"/>
      <c r="C33" s="29"/>
      <c r="D33" s="10"/>
      <c r="E33" s="10"/>
      <c r="F33" s="10"/>
      <c r="G33" s="10"/>
      <c r="H33" s="2"/>
    </row>
    <row r="34" spans="2:8" x14ac:dyDescent="0.25">
      <c r="B34" s="2"/>
      <c r="C34" s="29"/>
      <c r="D34" s="10"/>
      <c r="E34" s="10"/>
      <c r="F34" s="10"/>
      <c r="G34" s="10"/>
      <c r="H34" s="2"/>
    </row>
    <row r="35" spans="2:8" x14ac:dyDescent="0.25">
      <c r="B35" s="2"/>
      <c r="C35" s="29"/>
      <c r="D35" s="10"/>
      <c r="E35" s="10"/>
      <c r="F35" s="10"/>
      <c r="G35" s="10"/>
      <c r="H35" s="2"/>
    </row>
    <row r="36" spans="2:8" x14ac:dyDescent="0.25">
      <c r="B36" s="2"/>
      <c r="C36" s="29"/>
      <c r="D36" s="10"/>
      <c r="E36" s="10"/>
      <c r="F36" s="10"/>
      <c r="G36" s="10"/>
      <c r="H36" s="2"/>
    </row>
    <row r="37" spans="2:8" x14ac:dyDescent="0.25">
      <c r="B37" s="2"/>
      <c r="C37" s="29"/>
      <c r="D37" s="10"/>
      <c r="E37" s="10"/>
      <c r="F37" s="10"/>
      <c r="G37" s="10"/>
      <c r="H37" s="2"/>
    </row>
    <row r="38" spans="2:8" x14ac:dyDescent="0.25">
      <c r="B38" s="2"/>
      <c r="C38" s="29"/>
      <c r="D38" s="10"/>
      <c r="E38" s="10"/>
      <c r="F38" s="10"/>
      <c r="G38" s="10"/>
      <c r="H38" s="2"/>
    </row>
    <row r="39" spans="2:8" x14ac:dyDescent="0.25">
      <c r="B39" s="2"/>
      <c r="C39" s="2"/>
      <c r="D39" s="2"/>
      <c r="E39" s="2"/>
      <c r="F39" s="2"/>
      <c r="G39" s="2"/>
      <c r="H39" s="2"/>
    </row>
    <row r="40" spans="2:8" x14ac:dyDescent="0.25">
      <c r="B40" s="2"/>
      <c r="C40" s="2"/>
      <c r="D40" s="2"/>
      <c r="E40" s="2"/>
      <c r="F40" s="2"/>
      <c r="G40" s="2"/>
      <c r="H40" s="2"/>
    </row>
    <row r="41" spans="2:8" x14ac:dyDescent="0.25">
      <c r="B41" s="2"/>
      <c r="C41" s="29"/>
      <c r="D41" s="10"/>
      <c r="E41" s="10"/>
      <c r="F41" s="10"/>
      <c r="G41" s="10"/>
      <c r="H41" s="2"/>
    </row>
    <row r="42" spans="2:8" x14ac:dyDescent="0.25">
      <c r="B42" s="2"/>
      <c r="C42" s="29"/>
      <c r="D42" s="10"/>
      <c r="E42" s="10"/>
      <c r="F42" s="10"/>
      <c r="G42" s="10"/>
      <c r="H42" s="2"/>
    </row>
    <row r="43" spans="2:8" x14ac:dyDescent="0.25">
      <c r="B43" s="2"/>
      <c r="C43" s="29"/>
      <c r="D43" s="10"/>
      <c r="E43" s="10"/>
      <c r="F43" s="10"/>
      <c r="G43" s="10"/>
      <c r="H43" s="2"/>
    </row>
    <row r="44" spans="2:8" x14ac:dyDescent="0.25">
      <c r="B44" s="2"/>
      <c r="C44" s="29"/>
      <c r="D44" s="10"/>
      <c r="E44" s="10"/>
      <c r="F44" s="10"/>
      <c r="G44" s="10"/>
      <c r="H44" s="2"/>
    </row>
    <row r="45" spans="2:8" x14ac:dyDescent="0.25">
      <c r="B45" s="2"/>
      <c r="C45" s="29"/>
      <c r="D45" s="10"/>
      <c r="E45" s="10"/>
      <c r="F45" s="10"/>
      <c r="G45" s="10"/>
      <c r="H45" s="2"/>
    </row>
    <row r="46" spans="2:8" x14ac:dyDescent="0.25">
      <c r="B46" s="2"/>
      <c r="C46" s="29"/>
      <c r="D46" s="10"/>
      <c r="E46" s="10"/>
      <c r="F46" s="10"/>
      <c r="G46" s="10"/>
      <c r="H46" s="2"/>
    </row>
    <row r="47" spans="2:8" x14ac:dyDescent="0.25">
      <c r="B47" s="2"/>
      <c r="C47" s="29"/>
      <c r="D47" s="10"/>
      <c r="E47" s="10"/>
      <c r="F47" s="10"/>
      <c r="G47" s="10"/>
      <c r="H47" s="2"/>
    </row>
    <row r="48" spans="2:8" x14ac:dyDescent="0.25">
      <c r="B48" s="2"/>
      <c r="C48" s="29"/>
      <c r="D48" s="10"/>
      <c r="E48" s="10"/>
      <c r="F48" s="10"/>
      <c r="G48" s="10"/>
      <c r="H48" s="2"/>
    </row>
    <row r="49" spans="2:8" x14ac:dyDescent="0.25">
      <c r="B49" s="2"/>
      <c r="C49" s="29"/>
      <c r="D49" s="10"/>
      <c r="E49" s="10"/>
      <c r="F49" s="10"/>
      <c r="G49" s="10"/>
      <c r="H49" s="2"/>
    </row>
    <row r="50" spans="2:8" x14ac:dyDescent="0.25">
      <c r="B50" s="2"/>
      <c r="C50" s="29"/>
      <c r="D50" s="10"/>
      <c r="E50" s="10"/>
      <c r="F50" s="10"/>
      <c r="G50" s="10"/>
      <c r="H50" s="2"/>
    </row>
    <row r="51" spans="2:8" x14ac:dyDescent="0.25">
      <c r="B51" s="2"/>
      <c r="C51" s="29"/>
      <c r="D51" s="10"/>
      <c r="E51" s="10"/>
      <c r="F51" s="10"/>
      <c r="G51" s="10"/>
      <c r="H51" s="2"/>
    </row>
    <row r="52" spans="2:8" x14ac:dyDescent="0.25">
      <c r="B52" s="2"/>
      <c r="C52" s="29"/>
      <c r="D52" s="10"/>
      <c r="E52" s="10"/>
      <c r="F52" s="10"/>
      <c r="G52" s="10"/>
      <c r="H52" s="2"/>
    </row>
    <row r="53" spans="2:8" x14ac:dyDescent="0.25">
      <c r="B53" s="2"/>
      <c r="C53" s="29"/>
      <c r="D53" s="10"/>
      <c r="E53" s="10"/>
      <c r="F53" s="10"/>
      <c r="G53" s="10"/>
      <c r="H53" s="2"/>
    </row>
    <row r="54" spans="2:8" x14ac:dyDescent="0.25">
      <c r="B54" s="2"/>
      <c r="C54" s="29"/>
      <c r="D54" s="10"/>
      <c r="E54" s="10"/>
      <c r="F54" s="10"/>
      <c r="G54" s="10"/>
      <c r="H54" s="2"/>
    </row>
    <row r="55" spans="2:8" x14ac:dyDescent="0.25">
      <c r="B55" s="2"/>
      <c r="C55" s="29"/>
      <c r="D55" s="10"/>
      <c r="E55" s="10"/>
      <c r="F55" s="10"/>
      <c r="G55" s="10"/>
      <c r="H55" s="2"/>
    </row>
    <row r="56" spans="2:8" x14ac:dyDescent="0.25">
      <c r="B56" s="2"/>
      <c r="C56" s="29"/>
      <c r="D56" s="10"/>
      <c r="E56" s="10"/>
      <c r="F56" s="10"/>
      <c r="G56" s="10"/>
      <c r="H56" s="2"/>
    </row>
    <row r="57" spans="2:8" x14ac:dyDescent="0.25">
      <c r="B57" s="2"/>
      <c r="C57" s="2"/>
      <c r="D57" s="2"/>
      <c r="E57" s="2"/>
      <c r="F57" s="2"/>
      <c r="G57" s="2"/>
      <c r="H57" s="2"/>
    </row>
    <row r="58" spans="2:8" x14ac:dyDescent="0.25">
      <c r="B58" s="2"/>
      <c r="C58" s="2"/>
      <c r="D58" s="2"/>
      <c r="E58" s="2"/>
      <c r="F58" s="2"/>
      <c r="G58" s="2"/>
      <c r="H58" s="2"/>
    </row>
    <row r="59" spans="2:8" x14ac:dyDescent="0.25">
      <c r="B59" s="2"/>
      <c r="C59" s="29"/>
      <c r="D59" s="10"/>
      <c r="E59" s="10"/>
      <c r="F59" s="10"/>
      <c r="G59" s="10"/>
      <c r="H59" s="2"/>
    </row>
    <row r="60" spans="2:8" x14ac:dyDescent="0.25">
      <c r="B60" s="2"/>
      <c r="C60" s="29"/>
      <c r="D60" s="10"/>
      <c r="E60" s="10"/>
      <c r="F60" s="10"/>
      <c r="G60" s="10"/>
      <c r="H60" s="2"/>
    </row>
    <row r="61" spans="2:8" x14ac:dyDescent="0.25">
      <c r="B61" s="2"/>
      <c r="C61" s="29"/>
      <c r="D61" s="10"/>
      <c r="E61" s="10"/>
      <c r="F61" s="10"/>
      <c r="G61" s="10"/>
      <c r="H61" s="2"/>
    </row>
    <row r="62" spans="2:8" x14ac:dyDescent="0.25">
      <c r="B62" s="2"/>
      <c r="C62" s="29"/>
      <c r="D62" s="10"/>
      <c r="E62" s="10"/>
      <c r="F62" s="10"/>
      <c r="G62" s="10"/>
      <c r="H62" s="2"/>
    </row>
    <row r="63" spans="2:8" x14ac:dyDescent="0.25">
      <c r="B63" s="2"/>
      <c r="C63" s="29"/>
      <c r="D63" s="10"/>
      <c r="E63" s="10"/>
      <c r="F63" s="10"/>
      <c r="G63" s="10"/>
      <c r="H63" s="2"/>
    </row>
    <row r="64" spans="2:8" x14ac:dyDescent="0.25">
      <c r="B64" s="2"/>
      <c r="C64" s="29"/>
      <c r="D64" s="10"/>
      <c r="E64" s="10"/>
      <c r="F64" s="10"/>
      <c r="G64" s="10"/>
      <c r="H64" s="2"/>
    </row>
    <row r="65" spans="2:8" x14ac:dyDescent="0.25">
      <c r="B65" s="2"/>
      <c r="C65" s="29"/>
      <c r="D65" s="10"/>
      <c r="E65" s="10"/>
      <c r="F65" s="10"/>
      <c r="G65" s="10"/>
      <c r="H65" s="2"/>
    </row>
    <row r="66" spans="2:8" x14ac:dyDescent="0.25">
      <c r="B66" s="2"/>
      <c r="C66" s="29"/>
      <c r="D66" s="10"/>
      <c r="E66" s="10"/>
      <c r="F66" s="10"/>
      <c r="G66" s="10"/>
      <c r="H66" s="2"/>
    </row>
    <row r="67" spans="2:8" x14ac:dyDescent="0.25">
      <c r="B67" s="2"/>
      <c r="C67" s="29"/>
      <c r="D67" s="10"/>
      <c r="E67" s="10"/>
      <c r="F67" s="10"/>
      <c r="G67" s="10"/>
      <c r="H67" s="2"/>
    </row>
    <row r="68" spans="2:8" x14ac:dyDescent="0.25">
      <c r="B68" s="2"/>
      <c r="C68" s="29"/>
      <c r="D68" s="10"/>
      <c r="E68" s="10"/>
      <c r="F68" s="10"/>
      <c r="G68" s="10"/>
      <c r="H68" s="2"/>
    </row>
    <row r="69" spans="2:8" x14ac:dyDescent="0.25">
      <c r="B69" s="2"/>
      <c r="C69" s="29"/>
      <c r="D69" s="10"/>
      <c r="E69" s="10"/>
      <c r="F69" s="10"/>
      <c r="G69" s="10"/>
      <c r="H69" s="2"/>
    </row>
    <row r="70" spans="2:8" x14ac:dyDescent="0.25">
      <c r="B70" s="2"/>
      <c r="C70" s="29"/>
      <c r="D70" s="10"/>
      <c r="E70" s="10"/>
      <c r="F70" s="10"/>
      <c r="G70" s="10"/>
      <c r="H70" s="2"/>
    </row>
    <row r="71" spans="2:8" x14ac:dyDescent="0.25">
      <c r="B71" s="2"/>
      <c r="C71" s="29"/>
      <c r="D71" s="10"/>
      <c r="E71" s="10"/>
      <c r="F71" s="10"/>
      <c r="G71" s="10"/>
      <c r="H71" s="2"/>
    </row>
    <row r="72" spans="2:8" x14ac:dyDescent="0.25">
      <c r="B72" s="2"/>
      <c r="C72" s="29"/>
      <c r="D72" s="10"/>
      <c r="E72" s="10"/>
      <c r="F72" s="10"/>
      <c r="G72" s="10"/>
      <c r="H72" s="2"/>
    </row>
    <row r="73" spans="2:8" x14ac:dyDescent="0.25">
      <c r="B73" s="2"/>
      <c r="C73" s="29"/>
      <c r="D73" s="10"/>
      <c r="E73" s="10"/>
      <c r="F73" s="10"/>
      <c r="G73" s="10"/>
      <c r="H73" s="2"/>
    </row>
    <row r="74" spans="2:8" x14ac:dyDescent="0.25">
      <c r="B74" s="2"/>
      <c r="C74" s="29"/>
      <c r="D74" s="10"/>
      <c r="E74" s="10"/>
      <c r="F74" s="10"/>
      <c r="G74" s="10"/>
      <c r="H74" s="2"/>
    </row>
    <row r="75" spans="2:8" x14ac:dyDescent="0.25">
      <c r="B75" s="2"/>
      <c r="C75" s="2"/>
      <c r="D75" s="2"/>
      <c r="E75" s="2"/>
      <c r="F75" s="2"/>
      <c r="G75" s="2"/>
      <c r="H75" s="2"/>
    </row>
    <row r="76" spans="2:8" x14ac:dyDescent="0.25">
      <c r="B76" s="2"/>
      <c r="C76" s="2"/>
      <c r="D76" s="2"/>
      <c r="E76" s="2"/>
      <c r="F76" s="2"/>
      <c r="G76" s="2"/>
      <c r="H76" s="2"/>
    </row>
    <row r="77" spans="2:8" x14ac:dyDescent="0.25">
      <c r="B77" s="2"/>
      <c r="C77" s="29"/>
      <c r="D77" s="10"/>
      <c r="E77" s="10"/>
      <c r="F77" s="10"/>
      <c r="G77" s="10"/>
      <c r="H77" s="2"/>
    </row>
    <row r="78" spans="2:8" x14ac:dyDescent="0.25">
      <c r="B78" s="2"/>
      <c r="C78" s="29"/>
      <c r="D78" s="10"/>
      <c r="E78" s="10"/>
      <c r="F78" s="10"/>
      <c r="G78" s="10"/>
      <c r="H78" s="2"/>
    </row>
    <row r="79" spans="2:8" x14ac:dyDescent="0.25">
      <c r="B79" s="2"/>
      <c r="C79" s="29"/>
      <c r="D79" s="10"/>
      <c r="E79" s="10"/>
      <c r="F79" s="10"/>
      <c r="G79" s="10"/>
      <c r="H79" s="2"/>
    </row>
    <row r="80" spans="2:8" x14ac:dyDescent="0.25">
      <c r="B80" s="2"/>
      <c r="C80" s="29"/>
      <c r="D80" s="10"/>
      <c r="E80" s="10"/>
      <c r="F80" s="10"/>
      <c r="G80" s="10"/>
      <c r="H80" s="2"/>
    </row>
    <row r="81" spans="2:8" x14ac:dyDescent="0.25">
      <c r="B81" s="2"/>
      <c r="C81" s="29"/>
      <c r="D81" s="10"/>
      <c r="E81" s="10"/>
      <c r="F81" s="10"/>
      <c r="G81" s="10"/>
      <c r="H81" s="2"/>
    </row>
    <row r="82" spans="2:8" x14ac:dyDescent="0.25">
      <c r="B82" s="2"/>
      <c r="C82" s="29"/>
      <c r="D82" s="10"/>
      <c r="E82" s="10"/>
      <c r="F82" s="10"/>
      <c r="G82" s="10"/>
      <c r="H82" s="2"/>
    </row>
    <row r="83" spans="2:8" x14ac:dyDescent="0.25">
      <c r="B83" s="2"/>
      <c r="C83" s="29"/>
      <c r="D83" s="10"/>
      <c r="E83" s="10"/>
      <c r="F83" s="10"/>
      <c r="G83" s="10"/>
      <c r="H83" s="2"/>
    </row>
    <row r="84" spans="2:8" x14ac:dyDescent="0.25">
      <c r="B84" s="2"/>
      <c r="C84" s="29"/>
      <c r="D84" s="10"/>
      <c r="E84" s="10"/>
      <c r="F84" s="10"/>
      <c r="G84" s="10"/>
      <c r="H84" s="2"/>
    </row>
    <row r="85" spans="2:8" x14ac:dyDescent="0.25">
      <c r="B85" s="2"/>
      <c r="C85" s="29"/>
      <c r="D85" s="10"/>
      <c r="E85" s="10"/>
      <c r="F85" s="10"/>
      <c r="G85" s="10"/>
      <c r="H85" s="2"/>
    </row>
    <row r="86" spans="2:8" x14ac:dyDescent="0.25">
      <c r="B86" s="2"/>
      <c r="C86" s="29"/>
      <c r="D86" s="10"/>
      <c r="E86" s="10"/>
      <c r="F86" s="10"/>
      <c r="G86" s="10"/>
      <c r="H86" s="2"/>
    </row>
    <row r="87" spans="2:8" x14ac:dyDescent="0.25">
      <c r="B87" s="2"/>
      <c r="C87" s="29"/>
      <c r="D87" s="10"/>
      <c r="E87" s="10"/>
      <c r="F87" s="10"/>
      <c r="G87" s="10"/>
      <c r="H87" s="2"/>
    </row>
    <row r="88" spans="2:8" x14ac:dyDescent="0.25">
      <c r="B88" s="2"/>
      <c r="C88" s="29"/>
      <c r="D88" s="10"/>
      <c r="E88" s="10"/>
      <c r="F88" s="10"/>
      <c r="G88" s="10"/>
      <c r="H88" s="2"/>
    </row>
    <row r="89" spans="2:8" x14ac:dyDescent="0.25">
      <c r="B89" s="2"/>
      <c r="C89" s="29"/>
      <c r="D89" s="10"/>
      <c r="E89" s="10"/>
      <c r="F89" s="10"/>
      <c r="G89" s="10"/>
      <c r="H89" s="2"/>
    </row>
    <row r="90" spans="2:8" x14ac:dyDescent="0.25">
      <c r="B90" s="2"/>
      <c r="C90" s="29"/>
      <c r="D90" s="10"/>
      <c r="E90" s="10"/>
      <c r="F90" s="10"/>
      <c r="G90" s="10"/>
      <c r="H90" s="2"/>
    </row>
    <row r="91" spans="2:8" x14ac:dyDescent="0.25">
      <c r="B91" s="2"/>
      <c r="C91" s="29"/>
      <c r="D91" s="10"/>
      <c r="E91" s="10"/>
      <c r="F91" s="10"/>
      <c r="G91" s="10"/>
      <c r="H91" s="2"/>
    </row>
    <row r="92" spans="2:8" x14ac:dyDescent="0.25">
      <c r="B92" s="2"/>
      <c r="C92" s="29"/>
      <c r="D92" s="10"/>
      <c r="E92" s="10"/>
      <c r="F92" s="10"/>
      <c r="G92" s="10"/>
      <c r="H92" s="2"/>
    </row>
    <row r="93" spans="2:8" x14ac:dyDescent="0.25">
      <c r="B93" s="2"/>
      <c r="C93" s="2"/>
      <c r="D93" s="2"/>
      <c r="E93" s="2"/>
      <c r="F93" s="2"/>
      <c r="G93" s="2"/>
      <c r="H93" s="2"/>
    </row>
    <row r="94" spans="2:8" x14ac:dyDescent="0.25">
      <c r="B94" s="2"/>
      <c r="C94" s="2"/>
      <c r="D94" s="2"/>
      <c r="E94" s="2"/>
      <c r="F94" s="2"/>
      <c r="G94" s="2"/>
      <c r="H94" s="2"/>
    </row>
    <row r="95" spans="2:8" x14ac:dyDescent="0.25">
      <c r="B95" s="2"/>
      <c r="C95" s="2"/>
      <c r="D95" s="2"/>
      <c r="E95" s="2"/>
      <c r="F95" s="2"/>
      <c r="G95" s="2"/>
      <c r="H95" s="2"/>
    </row>
    <row r="96" spans="2:8" x14ac:dyDescent="0.25">
      <c r="B96" s="2"/>
      <c r="C96" s="2"/>
      <c r="D96" s="10"/>
      <c r="E96" s="10"/>
      <c r="F96" s="10"/>
      <c r="G96" s="10"/>
      <c r="H96" s="2"/>
    </row>
    <row r="97" spans="2:8" x14ac:dyDescent="0.25">
      <c r="B97" s="2"/>
      <c r="C97" s="2"/>
      <c r="D97" s="10"/>
      <c r="E97" s="10"/>
      <c r="F97" s="10"/>
      <c r="G97" s="10"/>
      <c r="H97" s="2"/>
    </row>
    <row r="98" spans="2:8" x14ac:dyDescent="0.25">
      <c r="B98" s="2"/>
      <c r="C98" s="2"/>
      <c r="D98" s="10"/>
      <c r="E98" s="10"/>
      <c r="F98" s="10"/>
      <c r="G98" s="10"/>
      <c r="H98" s="2"/>
    </row>
    <row r="99" spans="2:8" x14ac:dyDescent="0.25">
      <c r="B99" s="2"/>
      <c r="C99" s="2"/>
      <c r="D99" s="10"/>
      <c r="E99" s="10"/>
      <c r="F99" s="10"/>
      <c r="G99" s="10"/>
      <c r="H99" s="2"/>
    </row>
    <row r="100" spans="2:8" x14ac:dyDescent="0.25">
      <c r="B100" s="2"/>
      <c r="C100" s="2"/>
      <c r="D100" s="10"/>
      <c r="E100" s="10"/>
      <c r="F100" s="10"/>
      <c r="G100" s="10"/>
      <c r="H100" s="2"/>
    </row>
    <row r="101" spans="2:8" x14ac:dyDescent="0.25">
      <c r="B101" s="2"/>
      <c r="C101" s="2"/>
      <c r="D101" s="10"/>
      <c r="E101" s="10"/>
      <c r="F101" s="10"/>
      <c r="G101" s="10"/>
      <c r="H101" s="2"/>
    </row>
    <row r="102" spans="2:8" x14ac:dyDescent="0.25">
      <c r="B102" s="2"/>
      <c r="C102" s="2"/>
      <c r="D102" s="10"/>
      <c r="E102" s="10"/>
      <c r="F102" s="10"/>
      <c r="G102" s="10"/>
      <c r="H102" s="2"/>
    </row>
    <row r="103" spans="2:8" x14ac:dyDescent="0.25">
      <c r="B103" s="2"/>
      <c r="C103" s="2"/>
      <c r="D103" s="10"/>
      <c r="E103" s="10"/>
      <c r="F103" s="10"/>
      <c r="G103" s="10"/>
      <c r="H103" s="2"/>
    </row>
    <row r="104" spans="2:8" x14ac:dyDescent="0.25">
      <c r="B104" s="2"/>
      <c r="C104" s="2"/>
      <c r="D104" s="10"/>
      <c r="E104" s="10"/>
      <c r="F104" s="10"/>
      <c r="G104" s="10"/>
      <c r="H104" s="2"/>
    </row>
    <row r="105" spans="2:8" x14ac:dyDescent="0.25">
      <c r="B105" s="2"/>
      <c r="C105" s="2"/>
      <c r="D105" s="10"/>
      <c r="E105" s="10"/>
      <c r="F105" s="10"/>
      <c r="G105" s="10"/>
      <c r="H105" s="2"/>
    </row>
    <row r="106" spans="2:8" x14ac:dyDescent="0.25">
      <c r="B106" s="2"/>
      <c r="C106" s="2"/>
      <c r="D106" s="10"/>
      <c r="E106" s="10"/>
      <c r="F106" s="10"/>
      <c r="G106" s="10"/>
      <c r="H106" s="2"/>
    </row>
    <row r="107" spans="2:8" x14ac:dyDescent="0.25">
      <c r="B107" s="2"/>
      <c r="C107" s="2"/>
      <c r="D107" s="10"/>
      <c r="E107" s="10"/>
      <c r="F107" s="10"/>
      <c r="G107" s="10"/>
      <c r="H107" s="2"/>
    </row>
    <row r="108" spans="2:8" x14ac:dyDescent="0.25">
      <c r="B108" s="2"/>
      <c r="C108" s="2"/>
      <c r="D108" s="10"/>
      <c r="E108" s="10"/>
      <c r="F108" s="10"/>
      <c r="G108" s="10"/>
      <c r="H108" s="2"/>
    </row>
    <row r="109" spans="2:8" x14ac:dyDescent="0.25">
      <c r="B109" s="2"/>
      <c r="C109" s="2"/>
      <c r="D109" s="10"/>
      <c r="E109" s="10"/>
      <c r="F109" s="10"/>
      <c r="G109" s="10"/>
      <c r="H109" s="2"/>
    </row>
    <row r="110" spans="2:8" x14ac:dyDescent="0.25">
      <c r="B110" s="2"/>
      <c r="C110" s="2"/>
      <c r="D110" s="10"/>
      <c r="E110" s="10"/>
      <c r="F110" s="10"/>
      <c r="G110" s="10"/>
      <c r="H110" s="2"/>
    </row>
    <row r="111" spans="2:8" x14ac:dyDescent="0.25">
      <c r="B111" s="2"/>
      <c r="C111" s="2"/>
      <c r="D111" s="10"/>
      <c r="E111" s="10"/>
      <c r="F111" s="10"/>
      <c r="G111" s="10"/>
      <c r="H111" s="2"/>
    </row>
    <row r="112" spans="2:8" x14ac:dyDescent="0.25">
      <c r="B112" s="2"/>
      <c r="C112" s="2"/>
      <c r="D112" s="2"/>
      <c r="E112" s="2"/>
      <c r="F112" s="2"/>
      <c r="G112" s="2"/>
      <c r="H112" s="2"/>
    </row>
    <row r="113" spans="2:8" x14ac:dyDescent="0.25">
      <c r="B113" s="2"/>
      <c r="C113" s="2"/>
      <c r="D113" s="2"/>
      <c r="E113" s="2"/>
      <c r="F113" s="2"/>
      <c r="G113" s="2"/>
      <c r="H113" s="2"/>
    </row>
    <row r="114" spans="2:8" x14ac:dyDescent="0.25">
      <c r="B114" s="2"/>
      <c r="C114" s="2"/>
      <c r="D114" s="2"/>
      <c r="E114" s="2"/>
      <c r="F114" s="2"/>
      <c r="G114" s="2"/>
      <c r="H114" s="2"/>
    </row>
    <row r="115" spans="2:8" x14ac:dyDescent="0.25">
      <c r="B115" s="2"/>
      <c r="C115" s="2"/>
      <c r="D115" s="10"/>
      <c r="E115" s="10"/>
      <c r="F115" s="10"/>
      <c r="G115" s="10"/>
      <c r="H115" s="2"/>
    </row>
    <row r="116" spans="2:8" x14ac:dyDescent="0.25">
      <c r="B116" s="2"/>
      <c r="C116" s="2"/>
      <c r="D116" s="2"/>
      <c r="E116" s="2"/>
      <c r="F116" s="2"/>
      <c r="G116" s="2"/>
      <c r="H116" s="2"/>
    </row>
    <row r="117" spans="2:8" x14ac:dyDescent="0.25">
      <c r="B117" s="2"/>
      <c r="C117" s="2"/>
      <c r="D117" s="2"/>
      <c r="E117" s="2"/>
      <c r="F117" s="2"/>
      <c r="G117" s="2"/>
      <c r="H117" s="2"/>
    </row>
    <row r="118" spans="2:8" x14ac:dyDescent="0.25">
      <c r="B118" s="2"/>
      <c r="C118" s="2"/>
      <c r="D118" s="2"/>
      <c r="E118" s="2"/>
      <c r="F118" s="2"/>
      <c r="G118" s="2"/>
      <c r="H118" s="2"/>
    </row>
    <row r="119" spans="2:8" x14ac:dyDescent="0.25">
      <c r="B119" s="2"/>
      <c r="C119" s="2"/>
      <c r="D119" s="2"/>
      <c r="E119" s="2"/>
      <c r="F119" s="2"/>
      <c r="G119" s="2"/>
      <c r="H119" s="2"/>
    </row>
    <row r="120" spans="2:8" x14ac:dyDescent="0.25">
      <c r="B120" s="2"/>
      <c r="C120" s="2"/>
      <c r="D120" s="2"/>
      <c r="E120" s="2"/>
      <c r="F120" s="2"/>
      <c r="G120" s="2"/>
      <c r="H120" s="2"/>
    </row>
    <row r="121" spans="2:8" x14ac:dyDescent="0.25">
      <c r="B121" s="2"/>
      <c r="C121" s="2"/>
      <c r="D121" s="10"/>
      <c r="E121" s="10"/>
      <c r="F121" s="10"/>
      <c r="G121" s="10"/>
      <c r="H121" s="2"/>
    </row>
    <row r="122" spans="2:8" x14ac:dyDescent="0.25">
      <c r="B122" s="2"/>
      <c r="C122" s="2"/>
      <c r="D122" s="2"/>
      <c r="E122" s="2"/>
      <c r="F122" s="2"/>
      <c r="G122" s="2"/>
      <c r="H122" s="2"/>
    </row>
    <row r="123" spans="2:8" x14ac:dyDescent="0.25">
      <c r="B123" s="2"/>
      <c r="C123" s="2"/>
      <c r="D123" s="2"/>
      <c r="E123" s="2"/>
      <c r="F123" s="2"/>
      <c r="G123" s="2"/>
      <c r="H123" s="2"/>
    </row>
  </sheetData>
  <phoneticPr fontId="22" type="noConversion"/>
  <pageMargins left="0.7" right="0.7" top="0.75" bottom="0.75" header="0.3" footer="0.3"/>
  <pageSetup paperSize="9"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41"/>
  <sheetViews>
    <sheetView workbookViewId="0">
      <pane ySplit="4" topLeftCell="A5" activePane="bottomLeft" state="frozen"/>
      <selection pane="bottomLeft"/>
    </sheetView>
  </sheetViews>
  <sheetFormatPr defaultRowHeight="15" x14ac:dyDescent="0.25"/>
  <cols>
    <col min="1" max="1" width="9.5703125" bestFit="1" customWidth="1"/>
    <col min="2" max="2" width="7" bestFit="1" customWidth="1"/>
    <col min="3" max="3" width="3.7109375" bestFit="1" customWidth="1"/>
    <col min="4" max="4" width="5.7109375" style="17" bestFit="1" customWidth="1"/>
    <col min="5" max="9" width="5.140625" bestFit="1" customWidth="1"/>
    <col min="10" max="10" width="7.85546875" bestFit="1" customWidth="1"/>
    <col min="11" max="11" width="7.85546875" style="17" customWidth="1"/>
    <col min="12" max="12" width="23.5703125" bestFit="1" customWidth="1"/>
    <col min="13" max="14" width="4.140625" bestFit="1" customWidth="1"/>
    <col min="15" max="15" width="3.28515625" bestFit="1" customWidth="1"/>
    <col min="16" max="16" width="3.140625" bestFit="1" customWidth="1"/>
    <col min="17" max="17" width="2.5703125" customWidth="1"/>
    <col min="18" max="18" width="3.28515625" bestFit="1" customWidth="1"/>
    <col min="19" max="19" width="3.140625" bestFit="1" customWidth="1"/>
    <col min="20" max="20" width="2.140625" bestFit="1" customWidth="1"/>
    <col min="21" max="21" width="3.28515625" bestFit="1" customWidth="1"/>
    <col min="22" max="22" width="3.140625" bestFit="1" customWidth="1"/>
    <col min="23" max="23" width="2.140625" bestFit="1" customWidth="1"/>
    <col min="25" max="25" width="3.7109375" bestFit="1" customWidth="1"/>
    <col min="26" max="26" width="6" customWidth="1"/>
    <col min="27" max="27" width="4.85546875" bestFit="1" customWidth="1"/>
    <col min="28" max="28" width="8.7109375" bestFit="1" customWidth="1"/>
    <col min="29" max="29" width="7.85546875" style="17" customWidth="1"/>
    <col min="31" max="31" width="3.7109375" bestFit="1" customWidth="1"/>
    <col min="32" max="32" width="6" bestFit="1" customWidth="1"/>
    <col min="33" max="34" width="4.85546875" bestFit="1" customWidth="1"/>
    <col min="35" max="35" width="8.7109375" bestFit="1" customWidth="1"/>
    <col min="36" max="36" width="7.85546875" style="17" bestFit="1" customWidth="1"/>
    <col min="37" max="38" width="3.7109375" bestFit="1" customWidth="1"/>
    <col min="39" max="39" width="6" bestFit="1" customWidth="1"/>
    <col min="40" max="40" width="4.85546875" bestFit="1" customWidth="1"/>
    <col min="41" max="41" width="4.85546875" style="17" bestFit="1" customWidth="1"/>
    <col min="42" max="42" width="8.7109375" bestFit="1" customWidth="1"/>
    <col min="43" max="43" width="7.85546875" bestFit="1" customWidth="1"/>
    <col min="44" max="44" width="5.42578125" bestFit="1" customWidth="1"/>
    <col min="45" max="45" width="3.7109375" bestFit="1" customWidth="1"/>
    <col min="46" max="46" width="6" bestFit="1" customWidth="1"/>
    <col min="47" max="47" width="4.85546875" style="17" bestFit="1" customWidth="1"/>
    <col min="48" max="48" width="4.85546875" bestFit="1" customWidth="1"/>
    <col min="49" max="49" width="8.7109375" bestFit="1" customWidth="1"/>
    <col min="50" max="50" width="7.85546875" bestFit="1" customWidth="1"/>
  </cols>
  <sheetData>
    <row r="1" spans="1:50" s="17" customFormat="1" ht="18.75" x14ac:dyDescent="0.3">
      <c r="A1" s="202" t="s">
        <v>2</v>
      </c>
      <c r="B1" s="203">
        <v>2</v>
      </c>
    </row>
    <row r="2" spans="1:50" s="17" customFormat="1" ht="18.75" x14ac:dyDescent="0.3">
      <c r="A2" s="202" t="s">
        <v>4</v>
      </c>
      <c r="B2" s="203">
        <v>5</v>
      </c>
    </row>
    <row r="3" spans="1:50" ht="18.75" x14ac:dyDescent="0.3">
      <c r="A3" s="202" t="s">
        <v>0</v>
      </c>
      <c r="B3" s="203">
        <f>(B1^B2 - 1)/2</f>
        <v>15.5</v>
      </c>
      <c r="C3" s="17"/>
      <c r="E3" s="17"/>
      <c r="F3" s="17"/>
      <c r="G3" s="17"/>
      <c r="H3" s="17"/>
      <c r="I3" s="17"/>
    </row>
    <row r="4" spans="1:50" ht="51.75" thickBot="1" x14ac:dyDescent="0.3">
      <c r="A4" s="120" t="s">
        <v>25</v>
      </c>
      <c r="B4" s="120" t="s">
        <v>26</v>
      </c>
      <c r="C4" s="120" t="s">
        <v>28</v>
      </c>
      <c r="D4" s="208" t="s">
        <v>27</v>
      </c>
      <c r="E4" s="121" t="s">
        <v>11</v>
      </c>
      <c r="F4" s="121" t="s">
        <v>10</v>
      </c>
      <c r="G4" s="121" t="s">
        <v>9</v>
      </c>
      <c r="H4" s="121" t="s">
        <v>8</v>
      </c>
      <c r="I4" s="121" t="s">
        <v>7</v>
      </c>
      <c r="J4" s="17"/>
      <c r="Y4" s="120" t="s">
        <v>28</v>
      </c>
      <c r="Z4" s="322" t="s">
        <v>26</v>
      </c>
      <c r="AA4" s="323" t="s">
        <v>539</v>
      </c>
      <c r="AB4" s="324" t="s">
        <v>537</v>
      </c>
      <c r="AE4" s="120" t="s">
        <v>28</v>
      </c>
      <c r="AF4" s="120" t="s">
        <v>26</v>
      </c>
      <c r="AG4" s="254" t="s">
        <v>538</v>
      </c>
      <c r="AH4" s="254" t="s">
        <v>539</v>
      </c>
      <c r="AI4" s="120" t="s">
        <v>537</v>
      </c>
      <c r="AK4" s="17"/>
      <c r="AL4" s="120" t="s">
        <v>28</v>
      </c>
      <c r="AM4" s="120" t="s">
        <v>26</v>
      </c>
      <c r="AN4" s="254" t="s">
        <v>538</v>
      </c>
      <c r="AO4" s="254" t="s">
        <v>539</v>
      </c>
      <c r="AP4" s="120" t="s">
        <v>537</v>
      </c>
      <c r="AQ4" s="17"/>
      <c r="AR4" s="17"/>
      <c r="AS4" s="120" t="s">
        <v>28</v>
      </c>
      <c r="AT4" s="120" t="s">
        <v>26</v>
      </c>
      <c r="AU4" s="254" t="s">
        <v>538</v>
      </c>
      <c r="AV4" s="254" t="s">
        <v>539</v>
      </c>
      <c r="AW4" s="120" t="s">
        <v>537</v>
      </c>
      <c r="AX4" s="17"/>
    </row>
    <row r="5" spans="1:50" ht="16.5" thickTop="1" thickBot="1" x14ac:dyDescent="0.3">
      <c r="A5" s="139">
        <v>0</v>
      </c>
      <c r="B5" s="139">
        <f>ROUNDUP(t_B2n5_Fixed[[#This Row],[Row]]-$B$3,0)</f>
        <v>-16</v>
      </c>
      <c r="C5" s="12"/>
      <c r="D5" s="29">
        <v>0</v>
      </c>
      <c r="E5" s="168">
        <f>MOD(INT(t_B2n5[[#This Row],[x]]/$B$1^INT(RIGHT(t_B2n5[[#Headers],[b4]],1))),$B$1)</f>
        <v>0</v>
      </c>
      <c r="F5" s="168">
        <f>MOD(INT(t_B2n5[[#This Row],[x]]/$B$1^INT(RIGHT(t_B2n5[[#Headers],[b3]],1))),$B$1)</f>
        <v>0</v>
      </c>
      <c r="G5" s="168">
        <f>MOD(INT(t_B2n5[[#This Row],[x]]/$B$1^INT(RIGHT(t_B2n5[[#Headers],[b2]],1))),$B$1)</f>
        <v>0</v>
      </c>
      <c r="H5" s="168">
        <f>MOD(INT(t_B2n5[[#This Row],[x]]/$B$1^INT(RIGHT(t_B2n5[[#Headers],[b1]],1))),$B$1)</f>
        <v>0</v>
      </c>
      <c r="I5" s="168">
        <f>MOD(INT(t_B2n5[[#This Row],[x]]/$B$1^INT(RIGHT(t_B2n5[[#Headers],[b0]],1))),$B$1)</f>
        <v>0</v>
      </c>
      <c r="J5" s="17"/>
      <c r="Y5" s="139"/>
      <c r="Z5" s="320">
        <f>INDEX(t_B2n5_Fixed[Offset],MATCH($A$5,t_B2n5[x],0),1)</f>
        <v>-16</v>
      </c>
      <c r="AA5" s="314">
        <v>0</v>
      </c>
      <c r="AB5" s="329" t="s">
        <v>81</v>
      </c>
      <c r="AC5" s="27" t="s">
        <v>0</v>
      </c>
      <c r="AE5" s="139"/>
      <c r="AF5" s="139">
        <f>INDEX(t_B2n5_Fixed[Offset],MATCH($A$6,t_B2n5[x],0),1)</f>
        <v>-15</v>
      </c>
      <c r="AG5" s="139">
        <v>0</v>
      </c>
      <c r="AH5" s="139">
        <v>1</v>
      </c>
      <c r="AI5" s="256" t="s">
        <v>82</v>
      </c>
      <c r="AK5" s="17"/>
      <c r="AL5" s="139"/>
      <c r="AM5" s="139">
        <f>INDEX(t_B2n5_Fixed[Offset],MATCH($A$8,t_B2n5[x],0),1)</f>
        <v>-13</v>
      </c>
      <c r="AN5" s="139">
        <v>0</v>
      </c>
      <c r="AO5" s="139">
        <v>3</v>
      </c>
      <c r="AP5" s="261" t="s">
        <v>84</v>
      </c>
      <c r="AQ5" s="17"/>
      <c r="AR5" s="17"/>
      <c r="AS5" s="139"/>
      <c r="AT5" s="139">
        <f>INDEX(t_B2n5_Fixed[Offset],MATCH($A$10,t_B2n5[x],0),1)</f>
        <v>-11</v>
      </c>
      <c r="AU5" s="139">
        <v>0</v>
      </c>
      <c r="AV5" s="139">
        <v>5</v>
      </c>
      <c r="AW5" s="263" t="s">
        <v>86</v>
      </c>
      <c r="AX5" s="17"/>
    </row>
    <row r="6" spans="1:50" ht="15.75" thickBot="1" x14ac:dyDescent="0.3">
      <c r="A6" s="139">
        <v>1</v>
      </c>
      <c r="B6" s="139">
        <f>ROUNDUP(t_B2n5_Fixed[[#This Row],[Row]]-$B$3,0)</f>
        <v>-15</v>
      </c>
      <c r="C6" s="12">
        <f>t_B2n5[[#This Row],[x]]-D5</f>
        <v>1</v>
      </c>
      <c r="D6" s="29">
        <v>1</v>
      </c>
      <c r="E6" s="43">
        <f>MOD(INT(t_B2n5[[#This Row],[x]]/$B$1^INT(RIGHT(t_B2n5[[#Headers],[b4]],1))),$B$1)</f>
        <v>0</v>
      </c>
      <c r="F6" s="43">
        <f>MOD(INT(t_B2n5[[#This Row],[x]]/$B$1^INT(RIGHT(t_B2n5[[#Headers],[b3]],1))),$B$1)</f>
        <v>0</v>
      </c>
      <c r="G6" s="43">
        <f>MOD(INT(t_B2n5[[#This Row],[x]]/$B$1^INT(RIGHT(t_B2n5[[#Headers],[b2]],1))),$B$1)</f>
        <v>0</v>
      </c>
      <c r="H6" s="43">
        <f>MOD(INT(t_B2n5[[#This Row],[x]]/$B$1^INT(RIGHT(t_B2n5[[#Headers],[b1]],1))),$B$1)</f>
        <v>0</v>
      </c>
      <c r="I6" s="43">
        <f>MOD(INT(t_B2n5[[#This Row],[x]]/$B$1^INT(RIGHT(t_B2n5[[#Headers],[b0]],1))),$B$1)</f>
        <v>1</v>
      </c>
      <c r="J6" s="17"/>
      <c r="L6" s="34" t="s">
        <v>21</v>
      </c>
      <c r="M6" s="35" t="s">
        <v>5</v>
      </c>
      <c r="Y6" s="139">
        <f>t_B2n5_AB1[[#This Row],[Offset]]-Z5</f>
        <v>32</v>
      </c>
      <c r="Z6" s="325">
        <f>INDEX(t_B2n5_Fixed[Offset],MATCH($A$36,t_B2n5[x],0),1)</f>
        <v>16</v>
      </c>
      <c r="AA6" s="317">
        <v>31</v>
      </c>
      <c r="AB6" s="330" t="s">
        <v>112</v>
      </c>
      <c r="AE6" s="139">
        <f>t_B2n5_AB2[[#This Row],[Offset]]-AF5</f>
        <v>1</v>
      </c>
      <c r="AF6" s="139">
        <f>INDEX(t_B2n5_Fixed[Offset],MATCH($A$7,t_B2n5[x],0),1)</f>
        <v>-14</v>
      </c>
      <c r="AG6" s="139">
        <v>1</v>
      </c>
      <c r="AH6" s="139">
        <v>2</v>
      </c>
      <c r="AI6" s="256" t="s">
        <v>83</v>
      </c>
      <c r="AK6" s="17"/>
      <c r="AL6" s="139">
        <f>t_B2n5_AB3[[#This Row],[Offset]]-AM5</f>
        <v>3</v>
      </c>
      <c r="AM6" s="139">
        <f>INDEX(t_B2n5_Fixed[Offset],MATCH($A$11,t_B2n5[x],0),1)</f>
        <v>-10</v>
      </c>
      <c r="AN6" s="139">
        <v>1</v>
      </c>
      <c r="AO6" s="139">
        <v>6</v>
      </c>
      <c r="AP6" s="261" t="s">
        <v>87</v>
      </c>
      <c r="AQ6" s="17"/>
      <c r="AR6" s="17"/>
      <c r="AS6" s="139">
        <f>t_B2n5_AB4[[#This Row],[Offset]]-AT5</f>
        <v>4</v>
      </c>
      <c r="AT6" s="139">
        <f>INDEX(t_B2n5_Fixed[Offset],MATCH($A$14,t_B2n5[x],0),1)</f>
        <v>-7</v>
      </c>
      <c r="AU6" s="139">
        <v>1</v>
      </c>
      <c r="AV6" s="139">
        <v>9</v>
      </c>
      <c r="AW6" s="263" t="s">
        <v>90</v>
      </c>
      <c r="AX6" s="17"/>
    </row>
    <row r="7" spans="1:50" x14ac:dyDescent="0.25">
      <c r="A7" s="139">
        <v>2</v>
      </c>
      <c r="B7" s="139">
        <f>ROUNDUP(t_B2n5_Fixed[[#This Row],[Row]]-$B$3,0)</f>
        <v>-14</v>
      </c>
      <c r="C7" s="12">
        <f>t_B2n5[[#This Row],[x]]-D6</f>
        <v>1</v>
      </c>
      <c r="D7" s="29">
        <v>2</v>
      </c>
      <c r="E7" s="43">
        <f>MOD(INT(t_B2n5[[#This Row],[x]]/$B$1^INT(RIGHT(t_B2n5[[#Headers],[b4]],1))),$B$1)</f>
        <v>0</v>
      </c>
      <c r="F7" s="43">
        <f>MOD(INT(t_B2n5[[#This Row],[x]]/$B$1^INT(RIGHT(t_B2n5[[#Headers],[b3]],1))),$B$1)</f>
        <v>0</v>
      </c>
      <c r="G7" s="43">
        <f>MOD(INT(t_B2n5[[#This Row],[x]]/$B$1^INT(RIGHT(t_B2n5[[#Headers],[b2]],1))),$B$1)</f>
        <v>0</v>
      </c>
      <c r="H7" s="43">
        <f>MOD(INT(t_B2n5[[#This Row],[x]]/$B$1^INT(RIGHT(t_B2n5[[#Headers],[b1]],1))),$B$1)</f>
        <v>1</v>
      </c>
      <c r="I7" s="43">
        <f>MOD(INT(t_B2n5[[#This Row],[x]]/$B$1^INT(RIGHT(t_B2n5[[#Headers],[b0]],1))),$B$1)</f>
        <v>0</v>
      </c>
      <c r="J7" s="17"/>
      <c r="L7" s="32" t="s">
        <v>13</v>
      </c>
      <c r="M7" s="33">
        <v>1</v>
      </c>
      <c r="O7" s="210" t="s">
        <v>33</v>
      </c>
      <c r="P7" s="211" t="s">
        <v>34</v>
      </c>
      <c r="Q7" s="212"/>
      <c r="R7" s="212"/>
      <c r="S7" s="212"/>
      <c r="T7" s="212"/>
      <c r="U7" s="212"/>
      <c r="V7" s="212"/>
      <c r="Y7" s="17"/>
      <c r="Z7" s="17"/>
      <c r="AA7" s="17"/>
      <c r="AB7" s="17"/>
      <c r="AE7" s="139">
        <f>t_B2n5_AB2[[#This Row],[Offset]]-AF6</f>
        <v>2</v>
      </c>
      <c r="AF7" s="139">
        <f>INDEX(t_B2n5_Fixed[Offset],MATCH($A$9,t_B2n5[x],0),1)</f>
        <v>-12</v>
      </c>
      <c r="AG7" s="139">
        <v>2</v>
      </c>
      <c r="AH7" s="139">
        <v>4</v>
      </c>
      <c r="AI7" s="256" t="s">
        <v>85</v>
      </c>
      <c r="AK7" s="17"/>
      <c r="AL7" s="139">
        <f>t_B2n5_AB3[[#This Row],[Offset]]-AM6</f>
        <v>1</v>
      </c>
      <c r="AM7" s="139">
        <f>INDEX(t_B2n5_Fixed[Offset],MATCH($A$12,t_B2n5[x],0),1)</f>
        <v>-9</v>
      </c>
      <c r="AN7" s="139">
        <v>5</v>
      </c>
      <c r="AO7" s="139">
        <v>7</v>
      </c>
      <c r="AP7" s="262" t="s">
        <v>88</v>
      </c>
      <c r="AQ7" s="17"/>
      <c r="AR7" s="17"/>
      <c r="AS7" s="139">
        <f>t_B2n5_AB4[[#This Row],[Offset]]-AT6</f>
        <v>1</v>
      </c>
      <c r="AT7" s="139">
        <f>INDEX(t_B2n5_Fixed[Offset],MATCH($A$15,t_B2n5[x],0),1)</f>
        <v>-6</v>
      </c>
      <c r="AU7" s="139">
        <v>2</v>
      </c>
      <c r="AV7" s="139">
        <v>10</v>
      </c>
      <c r="AW7" s="263" t="s">
        <v>91</v>
      </c>
      <c r="AX7" s="17"/>
    </row>
    <row r="8" spans="1:50" ht="15.75" thickBot="1" x14ac:dyDescent="0.3">
      <c r="A8" s="139">
        <v>3</v>
      </c>
      <c r="B8" s="139">
        <f>ROUNDUP(t_B2n5_Fixed[[#This Row],[Row]]-$B$3,0)</f>
        <v>-13</v>
      </c>
      <c r="C8" s="12">
        <f>t_B2n5[[#This Row],[x]]-D7</f>
        <v>1</v>
      </c>
      <c r="D8" s="29">
        <v>3</v>
      </c>
      <c r="E8" s="45">
        <f>MOD(INT(t_B2n5[[#This Row],[x]]/$B$1^INT(RIGHT(t_B2n5[[#Headers],[b4]],1))),$B$1)</f>
        <v>0</v>
      </c>
      <c r="F8" s="45">
        <f>MOD(INT(t_B2n5[[#This Row],[x]]/$B$1^INT(RIGHT(t_B2n5[[#Headers],[b3]],1))),$B$1)</f>
        <v>0</v>
      </c>
      <c r="G8" s="45">
        <f>MOD(INT(t_B2n5[[#This Row],[x]]/$B$1^INT(RIGHT(t_B2n5[[#Headers],[b2]],1))),$B$1)</f>
        <v>0</v>
      </c>
      <c r="H8" s="45">
        <f>MOD(INT(t_B2n5[[#This Row],[x]]/$B$1^INT(RIGHT(t_B2n5[[#Headers],[b1]],1))),$B$1)</f>
        <v>1</v>
      </c>
      <c r="I8" s="45">
        <f>MOD(INT(t_B2n5[[#This Row],[x]]/$B$1^INT(RIGHT(t_B2n5[[#Headers],[b0]],1))),$B$1)</f>
        <v>1</v>
      </c>
      <c r="J8" s="17"/>
      <c r="L8" s="36" t="s">
        <v>18</v>
      </c>
      <c r="M8" s="37">
        <v>3</v>
      </c>
      <c r="O8" s="213" t="s">
        <v>36</v>
      </c>
      <c r="P8" s="214" t="s">
        <v>37</v>
      </c>
      <c r="Q8" s="212"/>
      <c r="R8" s="215" t="s">
        <v>39</v>
      </c>
      <c r="S8" s="216" t="s">
        <v>40</v>
      </c>
      <c r="T8" s="212"/>
      <c r="U8" s="217" t="s">
        <v>41</v>
      </c>
      <c r="V8" s="218" t="s">
        <v>42</v>
      </c>
      <c r="Y8" s="17"/>
      <c r="Z8" s="17"/>
      <c r="AA8" s="17"/>
      <c r="AB8" s="17"/>
      <c r="AE8" s="139">
        <f>t_B2n5_AB2[[#This Row],[Offset]]-AF7</f>
        <v>4</v>
      </c>
      <c r="AF8" s="139">
        <f>INDEX(t_B2n5_Fixed[Offset],MATCH($A$13,t_B2n5[x],0),1)</f>
        <v>-8</v>
      </c>
      <c r="AG8" s="139">
        <v>3</v>
      </c>
      <c r="AH8" s="139">
        <v>8</v>
      </c>
      <c r="AI8" s="256" t="s">
        <v>89</v>
      </c>
      <c r="AK8" s="17"/>
      <c r="AL8" s="139">
        <f>t_B2n5_AB3[[#This Row],[Offset]]-AM7</f>
        <v>5</v>
      </c>
      <c r="AM8" s="139">
        <f>INDEX(t_B2n5_Fixed[Offset],MATCH($A$17,t_B2n5[x],0),1)</f>
        <v>-4</v>
      </c>
      <c r="AN8" s="139">
        <v>2</v>
      </c>
      <c r="AO8" s="139">
        <v>12</v>
      </c>
      <c r="AP8" s="261" t="s">
        <v>93</v>
      </c>
      <c r="AQ8" s="17"/>
      <c r="AR8" s="17"/>
      <c r="AS8" s="139">
        <f>t_B2n5_AB4[[#This Row],[Offset]]-AT7</f>
        <v>1</v>
      </c>
      <c r="AT8" s="139">
        <f>INDEX(t_B2n5_Fixed[Offset],MATCH($A$16,t_B2n5[x],0),1)</f>
        <v>-5</v>
      </c>
      <c r="AU8" s="139">
        <v>5</v>
      </c>
      <c r="AV8" s="139">
        <v>11</v>
      </c>
      <c r="AW8" s="264" t="s">
        <v>92</v>
      </c>
      <c r="AX8" s="17"/>
    </row>
    <row r="9" spans="1:50" ht="15.75" thickBot="1" x14ac:dyDescent="0.3">
      <c r="A9" s="139">
        <v>4</v>
      </c>
      <c r="B9" s="139">
        <f>ROUNDUP(t_B2n5_Fixed[[#This Row],[Row]]-$B$3,0)</f>
        <v>-12</v>
      </c>
      <c r="C9" s="12">
        <f>t_B2n5[[#This Row],[x]]-D8</f>
        <v>1</v>
      </c>
      <c r="D9" s="9">
        <v>4</v>
      </c>
      <c r="E9" s="43">
        <f>MOD(INT(t_B2n5[[#This Row],[x]]/$B$1^INT(RIGHT(t_B2n5[[#Headers],[b4]],1))),$B$1)</f>
        <v>0</v>
      </c>
      <c r="F9" s="43">
        <f>MOD(INT(t_B2n5[[#This Row],[x]]/$B$1^INT(RIGHT(t_B2n5[[#Headers],[b3]],1))),$B$1)</f>
        <v>0</v>
      </c>
      <c r="G9" s="43">
        <f>MOD(INT(t_B2n5[[#This Row],[x]]/$B$1^INT(RIGHT(t_B2n5[[#Headers],[b2]],1))),$B$1)</f>
        <v>1</v>
      </c>
      <c r="H9" s="43">
        <f>MOD(INT(t_B2n5[[#This Row],[x]]/$B$1^INT(RIGHT(t_B2n5[[#Headers],[b1]],1))),$B$1)</f>
        <v>0</v>
      </c>
      <c r="I9" s="43">
        <f>MOD(INT(t_B2n5[[#This Row],[x]]/$B$1^INT(RIGHT(t_B2n5[[#Headers],[b0]],1))),$B$1)</f>
        <v>0</v>
      </c>
      <c r="J9" s="17"/>
      <c r="L9" s="113" t="s">
        <v>15</v>
      </c>
      <c r="M9" s="114">
        <f>SUM(M7:M8)</f>
        <v>4</v>
      </c>
      <c r="Y9" s="17"/>
      <c r="Z9" s="17"/>
      <c r="AA9" s="17"/>
      <c r="AB9" s="17"/>
      <c r="AE9" s="139">
        <f>t_B2n5_AB2[[#This Row],[Offset]]-AF8</f>
        <v>7</v>
      </c>
      <c r="AF9" s="6">
        <f>INDEX(t_B2n5_Fixed[Offset],MATCH($A$20,t_B2n5[x],0),1)</f>
        <v>-1</v>
      </c>
      <c r="AG9" s="6">
        <v>5</v>
      </c>
      <c r="AH9" s="6">
        <v>15</v>
      </c>
      <c r="AI9" s="355" t="s">
        <v>96</v>
      </c>
      <c r="AJ9" s="27" t="s">
        <v>0</v>
      </c>
      <c r="AK9" s="17"/>
      <c r="AL9" s="139">
        <f>t_B2n5_AB3[[#This Row],[Offset]]-AM8</f>
        <v>2</v>
      </c>
      <c r="AM9" s="6">
        <f>INDEX(t_B2n5_Fixed[Offset],MATCH($A$19,t_B2n5[x],0),1)</f>
        <v>-2</v>
      </c>
      <c r="AN9" s="6">
        <v>6</v>
      </c>
      <c r="AO9" s="6">
        <v>14</v>
      </c>
      <c r="AP9" s="356" t="s">
        <v>95</v>
      </c>
      <c r="AQ9" s="27" t="s">
        <v>0</v>
      </c>
      <c r="AR9" s="17"/>
      <c r="AS9" s="139">
        <f>t_B2n5_AB4[[#This Row],[Offset]]-AT8</f>
        <v>2</v>
      </c>
      <c r="AT9" s="6">
        <f>INDEX(t_B2n5_Fixed[Offset],MATCH($A$18,t_B2n5[x],0),1)</f>
        <v>-3</v>
      </c>
      <c r="AU9" s="6">
        <v>6</v>
      </c>
      <c r="AV9" s="6">
        <v>13</v>
      </c>
      <c r="AW9" s="357" t="s">
        <v>94</v>
      </c>
      <c r="AX9" s="27" t="s">
        <v>0</v>
      </c>
    </row>
    <row r="10" spans="1:50" ht="15.75" thickBot="1" x14ac:dyDescent="0.3">
      <c r="A10" s="139">
        <v>5</v>
      </c>
      <c r="B10" s="139">
        <f>ROUNDUP(t_B2n5_Fixed[[#This Row],[Row]]-$B$3,0)</f>
        <v>-11</v>
      </c>
      <c r="C10" s="12">
        <f>t_B2n5[[#This Row],[x]]-D9</f>
        <v>1</v>
      </c>
      <c r="D10" s="9">
        <v>5</v>
      </c>
      <c r="E10" s="167">
        <f>MOD(INT(t_B2n5[[#This Row],[x]]/$B$1^INT(RIGHT(t_B2n5[[#Headers],[b4]],1))),$B$1)</f>
        <v>0</v>
      </c>
      <c r="F10" s="167">
        <f>MOD(INT(t_B2n5[[#This Row],[x]]/$B$1^INT(RIGHT(t_B2n5[[#Headers],[b3]],1))),$B$1)</f>
        <v>0</v>
      </c>
      <c r="G10" s="167">
        <f>MOD(INT(t_B2n5[[#This Row],[x]]/$B$1^INT(RIGHT(t_B2n5[[#Headers],[b2]],1))),$B$1)</f>
        <v>1</v>
      </c>
      <c r="H10" s="167">
        <f>MOD(INT(t_B2n5[[#This Row],[x]]/$B$1^INT(RIGHT(t_B2n5[[#Headers],[b1]],1))),$B$1)</f>
        <v>0</v>
      </c>
      <c r="I10" s="167">
        <f>MOD(INT(t_B2n5[[#This Row],[x]]/$B$1^INT(RIGHT(t_B2n5[[#Headers],[b0]],1))),$B$1)</f>
        <v>1</v>
      </c>
      <c r="J10" s="17"/>
      <c r="L10" s="115" t="s">
        <v>16</v>
      </c>
      <c r="M10" s="117">
        <v>8</v>
      </c>
      <c r="Y10" s="17"/>
      <c r="Z10" s="17"/>
      <c r="AA10" s="17"/>
      <c r="AB10" s="17"/>
      <c r="AE10" s="139">
        <f>t_B2n5_AB2[[#This Row],[Offset]]-AF9</f>
        <v>2</v>
      </c>
      <c r="AF10" s="139">
        <f>INDEX(t_B2n5_Fixed[Offset],MATCH($A$21,t_B2n5[x],0),1)</f>
        <v>1</v>
      </c>
      <c r="AG10" s="139">
        <v>4</v>
      </c>
      <c r="AH10" s="139">
        <v>16</v>
      </c>
      <c r="AI10" s="256" t="s">
        <v>97</v>
      </c>
      <c r="AK10" s="17"/>
      <c r="AL10" s="139">
        <f>t_B2n5_AB3[[#This Row],[Offset]]-AM9</f>
        <v>4</v>
      </c>
      <c r="AM10" s="139">
        <f>INDEX(t_B2n5_Fixed[Offset],MATCH($A$22,t_B2n5[x],0),1)</f>
        <v>2</v>
      </c>
      <c r="AN10" s="139">
        <v>3</v>
      </c>
      <c r="AO10" s="139">
        <v>17</v>
      </c>
      <c r="AP10" s="261" t="s">
        <v>98</v>
      </c>
      <c r="AQ10" s="17"/>
      <c r="AR10" s="17"/>
      <c r="AS10" s="139">
        <f>t_B2n5_AB4[[#This Row],[Offset]]-AT9</f>
        <v>6</v>
      </c>
      <c r="AT10" s="139">
        <f>INDEX(t_B2n5_Fixed[Offset],MATCH($A$23,t_B2n5[x],0),1)</f>
        <v>3</v>
      </c>
      <c r="AU10" s="139">
        <v>3</v>
      </c>
      <c r="AV10" s="139">
        <v>18</v>
      </c>
      <c r="AW10" s="263" t="s">
        <v>99</v>
      </c>
      <c r="AX10" s="17"/>
    </row>
    <row r="11" spans="1:50" x14ac:dyDescent="0.25">
      <c r="A11" s="139">
        <v>6</v>
      </c>
      <c r="B11" s="139">
        <f>ROUNDUP(t_B2n5_Fixed[[#This Row],[Row]]-$B$3,0)</f>
        <v>-10</v>
      </c>
      <c r="C11" s="12">
        <f>t_B2n5[[#This Row],[x]]-D10</f>
        <v>1</v>
      </c>
      <c r="D11" s="9">
        <v>6</v>
      </c>
      <c r="E11" s="45">
        <f>MOD(INT(t_B2n5[[#This Row],[x]]/$B$1^INT(RIGHT(t_B2n5[[#Headers],[b4]],1))),$B$1)</f>
        <v>0</v>
      </c>
      <c r="F11" s="45">
        <f>MOD(INT(t_B2n5[[#This Row],[x]]/$B$1^INT(RIGHT(t_B2n5[[#Headers],[b3]],1))),$B$1)</f>
        <v>0</v>
      </c>
      <c r="G11" s="45">
        <f>MOD(INT(t_B2n5[[#This Row],[x]]/$B$1^INT(RIGHT(t_B2n5[[#Headers],[b2]],1))),$B$1)</f>
        <v>1</v>
      </c>
      <c r="H11" s="45">
        <f>MOD(INT(t_B2n5[[#This Row],[x]]/$B$1^INT(RIGHT(t_B2n5[[#Headers],[b1]],1))),$B$1)</f>
        <v>1</v>
      </c>
      <c r="I11" s="45">
        <f>MOD(INT(t_B2n5[[#This Row],[x]]/$B$1^INT(RIGHT(t_B2n5[[#Headers],[b0]],1))),$B$1)</f>
        <v>0</v>
      </c>
      <c r="J11" s="17"/>
      <c r="M11" s="17"/>
      <c r="Y11" s="17"/>
      <c r="Z11" s="17"/>
      <c r="AA11" s="17"/>
      <c r="AB11" s="17"/>
      <c r="AE11" s="139">
        <f>t_B2n5_AB2[[#This Row],[Offset]]-AF10</f>
        <v>7</v>
      </c>
      <c r="AF11" s="139">
        <f>INDEX(t_B2n5_Fixed[Offset],MATCH($A$28,t_B2n5[x],0),1)</f>
        <v>8</v>
      </c>
      <c r="AG11" s="139">
        <v>6</v>
      </c>
      <c r="AH11" s="139">
        <v>23</v>
      </c>
      <c r="AI11" s="257" t="s">
        <v>104</v>
      </c>
      <c r="AK11" s="17"/>
      <c r="AL11" s="139">
        <f>t_B2n5_AB3[[#This Row],[Offset]]-AM10</f>
        <v>2</v>
      </c>
      <c r="AM11" s="139">
        <f>INDEX(t_B2n5_Fixed[Offset],MATCH($A$24,t_B2n5[x],0),1)</f>
        <v>4</v>
      </c>
      <c r="AN11" s="139">
        <v>7</v>
      </c>
      <c r="AO11" s="139">
        <v>19</v>
      </c>
      <c r="AP11" s="262" t="s">
        <v>100</v>
      </c>
      <c r="AQ11" s="17"/>
      <c r="AR11" s="17"/>
      <c r="AS11" s="139">
        <f>t_B2n5_AB4[[#This Row],[Offset]]-AT10</f>
        <v>2</v>
      </c>
      <c r="AT11" s="139">
        <f>INDEX(t_B2n5_Fixed[Offset],MATCH($A$25,t_B2n5[x],0),1)</f>
        <v>5</v>
      </c>
      <c r="AU11" s="139">
        <v>4</v>
      </c>
      <c r="AV11" s="139">
        <v>20</v>
      </c>
      <c r="AW11" s="263" t="s">
        <v>101</v>
      </c>
      <c r="AX11" s="17"/>
    </row>
    <row r="12" spans="1:50" x14ac:dyDescent="0.25">
      <c r="A12" s="139">
        <v>7</v>
      </c>
      <c r="B12" s="139">
        <f>ROUNDUP(t_B2n5_Fixed[[#This Row],[Row]]-$B$3,0)</f>
        <v>-9</v>
      </c>
      <c r="C12" s="12">
        <f>t_B2n5[[#This Row],[x]]-D11</f>
        <v>1</v>
      </c>
      <c r="D12" s="139">
        <v>7</v>
      </c>
      <c r="E12" s="170">
        <f>MOD(INT(t_B2n5[[#This Row],[x]]/$B$1^INT(RIGHT(t_B2n5[[#Headers],[b4]],1))),$B$1)</f>
        <v>0</v>
      </c>
      <c r="F12" s="170">
        <f>MOD(INT(t_B2n5[[#This Row],[x]]/$B$1^INT(RIGHT(t_B2n5[[#Headers],[b3]],1))),$B$1)</f>
        <v>0</v>
      </c>
      <c r="G12" s="170">
        <f>MOD(INT(t_B2n5[[#This Row],[x]]/$B$1^INT(RIGHT(t_B2n5[[#Headers],[b2]],1))),$B$1)</f>
        <v>1</v>
      </c>
      <c r="H12" s="170">
        <f>MOD(INT(t_B2n5[[#This Row],[x]]/$B$1^INT(RIGHT(t_B2n5[[#Headers],[b1]],1))),$B$1)</f>
        <v>1</v>
      </c>
      <c r="I12" s="170">
        <f>MOD(INT(t_B2n5[[#This Row],[x]]/$B$1^INT(RIGHT(t_B2n5[[#Headers],[b0]],1))),$B$1)</f>
        <v>1</v>
      </c>
      <c r="M12" s="17"/>
      <c r="Y12" s="17"/>
      <c r="Z12" s="17"/>
      <c r="AA12" s="17"/>
      <c r="AB12" s="17"/>
      <c r="AE12" s="139">
        <f>t_B2n5_AB2[[#This Row],[Offset]]-AF11</f>
        <v>4</v>
      </c>
      <c r="AF12" s="139">
        <f>INDEX(t_B2n5_Fixed[Offset],MATCH($A$32,t_B2n5[x],0),1)</f>
        <v>12</v>
      </c>
      <c r="AG12" s="139">
        <v>7</v>
      </c>
      <c r="AH12" s="139">
        <v>27</v>
      </c>
      <c r="AI12" s="257" t="s">
        <v>108</v>
      </c>
      <c r="AK12" s="17"/>
      <c r="AL12" s="139">
        <f>t_B2n5_AB3[[#This Row],[Offset]]-AM11</f>
        <v>5</v>
      </c>
      <c r="AM12" s="139">
        <f>INDEX(t_B2n5_Fixed[Offset],MATCH($A$29,t_B2n5[x],0),1)</f>
        <v>9</v>
      </c>
      <c r="AN12" s="139">
        <v>4</v>
      </c>
      <c r="AO12" s="139">
        <v>24</v>
      </c>
      <c r="AP12" s="261" t="s">
        <v>105</v>
      </c>
      <c r="AQ12" s="17"/>
      <c r="AR12" s="17"/>
      <c r="AS12" s="139">
        <f>t_B2n5_AB4[[#This Row],[Offset]]-AT11</f>
        <v>1</v>
      </c>
      <c r="AT12" s="139">
        <f>INDEX(t_B2n5_Fixed[Offset],MATCH($A$26,t_B2n5[x],0),1)</f>
        <v>6</v>
      </c>
      <c r="AU12" s="139">
        <v>7</v>
      </c>
      <c r="AV12" s="139">
        <v>21</v>
      </c>
      <c r="AW12" s="264" t="s">
        <v>102</v>
      </c>
      <c r="AX12" s="17"/>
    </row>
    <row r="13" spans="1:50" x14ac:dyDescent="0.25">
      <c r="A13" s="139">
        <v>8</v>
      </c>
      <c r="B13" s="139">
        <f>ROUNDUP(t_B2n5_Fixed[[#This Row],[Row]]-$B$3,0)</f>
        <v>-8</v>
      </c>
      <c r="C13" s="12">
        <f>t_B2n5[[#This Row],[x]]-D12</f>
        <v>1</v>
      </c>
      <c r="D13" s="139">
        <v>8</v>
      </c>
      <c r="E13" s="43">
        <f>MOD(INT(t_B2n5[[#This Row],[x]]/$B$1^INT(RIGHT(t_B2n5[[#Headers],[b4]],1))),$B$1)</f>
        <v>0</v>
      </c>
      <c r="F13" s="43">
        <f>MOD(INT(t_B2n5[[#This Row],[x]]/$B$1^INT(RIGHT(t_B2n5[[#Headers],[b3]],1))),$B$1)</f>
        <v>1</v>
      </c>
      <c r="G13" s="43">
        <f>MOD(INT(t_B2n5[[#This Row],[x]]/$B$1^INT(RIGHT(t_B2n5[[#Headers],[b2]],1))),$B$1)</f>
        <v>0</v>
      </c>
      <c r="H13" s="43">
        <f>MOD(INT(t_B2n5[[#This Row],[x]]/$B$1^INT(RIGHT(t_B2n5[[#Headers],[b1]],1))),$B$1)</f>
        <v>0</v>
      </c>
      <c r="I13" s="43">
        <f>MOD(INT(t_B2n5[[#This Row],[x]]/$B$1^INT(RIGHT(t_B2n5[[#Headers],[b0]],1))),$B$1)</f>
        <v>0</v>
      </c>
      <c r="J13" s="17"/>
      <c r="M13" s="17"/>
      <c r="AE13" s="139">
        <f>t_B2n5_AB2[[#This Row],[Offset]]-AF12</f>
        <v>2</v>
      </c>
      <c r="AF13" s="139">
        <f>INDEX(t_B2n5_Fixed[Offset],MATCH($A$34,t_B2n5[x],0),1)</f>
        <v>14</v>
      </c>
      <c r="AG13" s="139">
        <v>8</v>
      </c>
      <c r="AH13" s="139">
        <v>29</v>
      </c>
      <c r="AI13" s="257" t="s">
        <v>110</v>
      </c>
      <c r="AK13" s="17"/>
      <c r="AL13" s="139">
        <f>t_B2n5_AB3[[#This Row],[Offset]]-AM12</f>
        <v>1</v>
      </c>
      <c r="AM13" s="139">
        <f>INDEX(t_B2n5_Fixed[Offset],MATCH($A$30,t_B2n5[x],0),1)</f>
        <v>10</v>
      </c>
      <c r="AN13" s="139">
        <v>8</v>
      </c>
      <c r="AO13" s="139">
        <v>25</v>
      </c>
      <c r="AP13" s="262" t="s">
        <v>106</v>
      </c>
      <c r="AQ13" s="17"/>
      <c r="AR13" s="17"/>
      <c r="AS13" s="139">
        <f>t_B2n5_AB4[[#This Row],[Offset]]-AT12</f>
        <v>1</v>
      </c>
      <c r="AT13" s="139">
        <f>INDEX(t_B2n5_Fixed[Offset],MATCH($A$27,t_B2n5[x],0),1)</f>
        <v>7</v>
      </c>
      <c r="AU13" s="139">
        <v>8</v>
      </c>
      <c r="AV13" s="139">
        <v>22</v>
      </c>
      <c r="AW13" s="264" t="s">
        <v>103</v>
      </c>
      <c r="AX13" s="17"/>
    </row>
    <row r="14" spans="1:50" x14ac:dyDescent="0.25">
      <c r="A14" s="139">
        <v>9</v>
      </c>
      <c r="B14" s="139">
        <f>ROUNDUP(t_B2n5_Fixed[[#This Row],[Row]]-$B$3,0)</f>
        <v>-7</v>
      </c>
      <c r="C14" s="12">
        <f>t_B2n5[[#This Row],[x]]-D13</f>
        <v>1</v>
      </c>
      <c r="D14" s="9">
        <v>9</v>
      </c>
      <c r="E14" s="167">
        <f>MOD(INT(t_B2n5[[#This Row],[x]]/$B$1^INT(RIGHT(t_B2n5[[#Headers],[b4]],1))),$B$1)</f>
        <v>0</v>
      </c>
      <c r="F14" s="167">
        <f>MOD(INT(t_B2n5[[#This Row],[x]]/$B$1^INT(RIGHT(t_B2n5[[#Headers],[b3]],1))),$B$1)</f>
        <v>1</v>
      </c>
      <c r="G14" s="167">
        <f>MOD(INT(t_B2n5[[#This Row],[x]]/$B$1^INT(RIGHT(t_B2n5[[#Headers],[b2]],1))),$B$1)</f>
        <v>0</v>
      </c>
      <c r="H14" s="167">
        <f>MOD(INT(t_B2n5[[#This Row],[x]]/$B$1^INT(RIGHT(t_B2n5[[#Headers],[b1]],1))),$B$1)</f>
        <v>0</v>
      </c>
      <c r="I14" s="167">
        <f>MOD(INT(t_B2n5[[#This Row],[x]]/$B$1^INT(RIGHT(t_B2n5[[#Headers],[b0]],1))),$B$1)</f>
        <v>1</v>
      </c>
      <c r="J14" s="17"/>
      <c r="M14" s="17"/>
      <c r="AE14" s="139">
        <f>t_B2n5_AB2[[#This Row],[Offset]]-AF13</f>
        <v>1</v>
      </c>
      <c r="AF14" s="139">
        <f>INDEX(t_B2n5_Fixed[Offset],MATCH($A$35,t_B2n5[x],0),1)</f>
        <v>15</v>
      </c>
      <c r="AG14" s="139">
        <v>9</v>
      </c>
      <c r="AH14" s="139">
        <v>30</v>
      </c>
      <c r="AI14" s="257" t="s">
        <v>111</v>
      </c>
      <c r="AJ14"/>
      <c r="AK14" s="17"/>
      <c r="AL14" s="139">
        <f>t_B2n5_AB3[[#This Row],[Offset]]-AM13</f>
        <v>3</v>
      </c>
      <c r="AM14" s="139">
        <f>INDEX(t_B2n5_Fixed[Offset],MATCH($A$33,t_B2n5[x],0),1)</f>
        <v>13</v>
      </c>
      <c r="AN14" s="139">
        <v>9</v>
      </c>
      <c r="AO14" s="139">
        <v>28</v>
      </c>
      <c r="AP14" s="262" t="s">
        <v>109</v>
      </c>
      <c r="AQ14" s="17"/>
      <c r="AS14" s="139">
        <f>t_B2n5_AB4[[#This Row],[Offset]]-AT13</f>
        <v>4</v>
      </c>
      <c r="AT14" s="139">
        <f>INDEX(t_B2n5_Fixed[Offset],MATCH($A$31,t_B2n5[x],0),1)</f>
        <v>11</v>
      </c>
      <c r="AU14" s="139">
        <v>9</v>
      </c>
      <c r="AV14" s="139">
        <v>26</v>
      </c>
      <c r="AW14" s="264" t="s">
        <v>107</v>
      </c>
      <c r="AX14" s="17"/>
    </row>
    <row r="15" spans="1:50" x14ac:dyDescent="0.25">
      <c r="A15" s="139">
        <v>10</v>
      </c>
      <c r="B15" s="139">
        <f>ROUNDUP(t_B2n5_Fixed[[#This Row],[Row]]-$B$3,0)</f>
        <v>-6</v>
      </c>
      <c r="C15" s="12">
        <f>t_B2n5[[#This Row],[x]]-D14</f>
        <v>1</v>
      </c>
      <c r="D15" s="9">
        <v>10</v>
      </c>
      <c r="E15" s="167">
        <f>MOD(INT(t_B2n5[[#This Row],[x]]/$B$1^INT(RIGHT(t_B2n5[[#Headers],[b4]],1))),$B$1)</f>
        <v>0</v>
      </c>
      <c r="F15" s="167">
        <f>MOD(INT(t_B2n5[[#This Row],[x]]/$B$1^INT(RIGHT(t_B2n5[[#Headers],[b3]],1))),$B$1)</f>
        <v>1</v>
      </c>
      <c r="G15" s="167">
        <f>MOD(INT(t_B2n5[[#This Row],[x]]/$B$1^INT(RIGHT(t_B2n5[[#Headers],[b2]],1))),$B$1)</f>
        <v>0</v>
      </c>
      <c r="H15" s="167">
        <f>MOD(INT(t_B2n5[[#This Row],[x]]/$B$1^INT(RIGHT(t_B2n5[[#Headers],[b1]],1))),$B$1)</f>
        <v>1</v>
      </c>
      <c r="I15" s="167">
        <f>MOD(INT(t_B2n5[[#This Row],[x]]/$B$1^INT(RIGHT(t_B2n5[[#Headers],[b0]],1))),$B$1)</f>
        <v>0</v>
      </c>
      <c r="J15" s="17"/>
      <c r="M15" s="17"/>
    </row>
    <row r="16" spans="1:50" x14ac:dyDescent="0.25">
      <c r="A16" s="139">
        <v>11</v>
      </c>
      <c r="B16" s="139">
        <f>ROUNDUP(t_B2n5_Fixed[[#This Row],[Row]]-$B$3,0)</f>
        <v>-5</v>
      </c>
      <c r="C16" s="12">
        <f>t_B2n5[[#This Row],[x]]-D15</f>
        <v>1</v>
      </c>
      <c r="D16" s="9">
        <v>11</v>
      </c>
      <c r="E16" s="184">
        <f>MOD(INT(t_B2n5[[#This Row],[x]]/$B$1^INT(RIGHT(t_B2n5[[#Headers],[b4]],1))),$B$1)</f>
        <v>0</v>
      </c>
      <c r="F16" s="184">
        <f>MOD(INT(t_B2n5[[#This Row],[x]]/$B$1^INT(RIGHT(t_B2n5[[#Headers],[b3]],1))),$B$1)</f>
        <v>1</v>
      </c>
      <c r="G16" s="184">
        <f>MOD(INT(t_B2n5[[#This Row],[x]]/$B$1^INT(RIGHT(t_B2n5[[#Headers],[b2]],1))),$B$1)</f>
        <v>0</v>
      </c>
      <c r="H16" s="184">
        <f>MOD(INT(t_B2n5[[#This Row],[x]]/$B$1^INT(RIGHT(t_B2n5[[#Headers],[b1]],1))),$B$1)</f>
        <v>1</v>
      </c>
      <c r="I16" s="184">
        <f>MOD(INT(t_B2n5[[#This Row],[x]]/$B$1^INT(RIGHT(t_B2n5[[#Headers],[b0]],1))),$B$1)</f>
        <v>1</v>
      </c>
      <c r="J16" s="17"/>
      <c r="M16" s="17"/>
      <c r="AH16" s="17"/>
      <c r="AV16" s="17"/>
    </row>
    <row r="17" spans="1:98" x14ac:dyDescent="0.25">
      <c r="A17" s="139">
        <v>12</v>
      </c>
      <c r="B17" s="139">
        <f>ROUNDUP(t_B2n5_Fixed[[#This Row],[Row]]-$B$3,0)</f>
        <v>-4</v>
      </c>
      <c r="C17" s="12">
        <f>t_B2n5[[#This Row],[x]]-D16</f>
        <v>1</v>
      </c>
      <c r="D17" s="9">
        <v>12</v>
      </c>
      <c r="E17" s="45">
        <f>MOD(INT(t_B2n5[[#This Row],[x]]/$B$1^INT(RIGHT(t_B2n5[[#Headers],[b4]],1))),$B$1)</f>
        <v>0</v>
      </c>
      <c r="F17" s="45">
        <f>MOD(INT(t_B2n5[[#This Row],[x]]/$B$1^INT(RIGHT(t_B2n5[[#Headers],[b3]],1))),$B$1)</f>
        <v>1</v>
      </c>
      <c r="G17" s="45">
        <f>MOD(INT(t_B2n5[[#This Row],[x]]/$B$1^INT(RIGHT(t_B2n5[[#Headers],[b2]],1))),$B$1)</f>
        <v>1</v>
      </c>
      <c r="H17" s="45">
        <f>MOD(INT(t_B2n5[[#This Row],[x]]/$B$1^INT(RIGHT(t_B2n5[[#Headers],[b1]],1))),$B$1)</f>
        <v>0</v>
      </c>
      <c r="I17" s="45">
        <f>MOD(INT(t_B2n5[[#This Row],[x]]/$B$1^INT(RIGHT(t_B2n5[[#Headers],[b0]],1))),$B$1)</f>
        <v>0</v>
      </c>
      <c r="J17" s="17"/>
      <c r="M17" s="17"/>
      <c r="AH17" s="17"/>
      <c r="AV17" s="17"/>
    </row>
    <row r="18" spans="1:98" x14ac:dyDescent="0.25">
      <c r="A18" s="139">
        <v>13</v>
      </c>
      <c r="B18" s="139">
        <f>ROUNDUP(t_B2n5_Fixed[[#This Row],[Row]]-$B$3,0)</f>
        <v>-3</v>
      </c>
      <c r="C18" s="12">
        <f>t_B2n5[[#This Row],[x]]-D17</f>
        <v>1</v>
      </c>
      <c r="D18" s="9">
        <v>13</v>
      </c>
      <c r="E18" s="184">
        <f>MOD(INT(t_B2n5[[#This Row],[x]]/$B$1^INT(RIGHT(t_B2n5[[#Headers],[b4]],1))),$B$1)</f>
        <v>0</v>
      </c>
      <c r="F18" s="184">
        <f>MOD(INT(t_B2n5[[#This Row],[x]]/$B$1^INT(RIGHT(t_B2n5[[#Headers],[b3]],1))),$B$1)</f>
        <v>1</v>
      </c>
      <c r="G18" s="184">
        <f>MOD(INT(t_B2n5[[#This Row],[x]]/$B$1^INT(RIGHT(t_B2n5[[#Headers],[b2]],1))),$B$1)</f>
        <v>1</v>
      </c>
      <c r="H18" s="184">
        <f>MOD(INT(t_B2n5[[#This Row],[x]]/$B$1^INT(RIGHT(t_B2n5[[#Headers],[b1]],1))),$B$1)</f>
        <v>0</v>
      </c>
      <c r="I18" s="184">
        <f>MOD(INT(t_B2n5[[#This Row],[x]]/$B$1^INT(RIGHT(t_B2n5[[#Headers],[b0]],1))),$B$1)</f>
        <v>1</v>
      </c>
      <c r="J18" s="17"/>
      <c r="M18" s="17"/>
      <c r="AH18" s="17"/>
      <c r="AV18" s="17"/>
    </row>
    <row r="19" spans="1:98" x14ac:dyDescent="0.25">
      <c r="A19" s="139">
        <v>14</v>
      </c>
      <c r="B19" s="139">
        <f>ROUNDUP(t_B2n5_Fixed[[#This Row],[Row]]-$B$3,0)</f>
        <v>-2</v>
      </c>
      <c r="C19" s="12">
        <f>t_B2n5[[#This Row],[x]]-D18</f>
        <v>1</v>
      </c>
      <c r="D19" s="9">
        <v>14</v>
      </c>
      <c r="E19" s="170">
        <f>MOD(INT(t_B2n5[[#This Row],[x]]/$B$1^INT(RIGHT(t_B2n5[[#Headers],[b4]],1))),$B$1)</f>
        <v>0</v>
      </c>
      <c r="F19" s="170">
        <f>MOD(INT(t_B2n5[[#This Row],[x]]/$B$1^INT(RIGHT(t_B2n5[[#Headers],[b3]],1))),$B$1)</f>
        <v>1</v>
      </c>
      <c r="G19" s="170">
        <f>MOD(INT(t_B2n5[[#This Row],[x]]/$B$1^INT(RIGHT(t_B2n5[[#Headers],[b2]],1))),$B$1)</f>
        <v>1</v>
      </c>
      <c r="H19" s="170">
        <f>MOD(INT(t_B2n5[[#This Row],[x]]/$B$1^INT(RIGHT(t_B2n5[[#Headers],[b1]],1))),$B$1)</f>
        <v>1</v>
      </c>
      <c r="I19" s="170">
        <f>MOD(INT(t_B2n5[[#This Row],[x]]/$B$1^INT(RIGHT(t_B2n5[[#Headers],[b0]],1))),$B$1)</f>
        <v>0</v>
      </c>
      <c r="J19" s="17"/>
      <c r="M19" s="17"/>
      <c r="Y19" s="17"/>
      <c r="Z19" s="17"/>
      <c r="AA19" s="17"/>
      <c r="AB19" s="17"/>
      <c r="AD19" s="17"/>
      <c r="AE19" s="17"/>
      <c r="AF19" s="17"/>
      <c r="AG19" s="17"/>
      <c r="AH19" s="17"/>
      <c r="AI19" s="17"/>
      <c r="AK19" s="17"/>
      <c r="AL19" s="17"/>
      <c r="AM19" s="17"/>
      <c r="AN19" s="17"/>
      <c r="AP19" s="17"/>
      <c r="AQ19" s="17"/>
      <c r="AR19" s="17"/>
      <c r="AS19" s="17"/>
      <c r="AT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row>
    <row r="20" spans="1:98" ht="15.75" thickBot="1" x14ac:dyDescent="0.3">
      <c r="A20" s="6">
        <v>15</v>
      </c>
      <c r="B20" s="6">
        <f>ROUNDUP(t_B2n5_Fixed[[#This Row],[Row]]-$B$3,0)</f>
        <v>-1</v>
      </c>
      <c r="C20" s="7">
        <f>t_B2n5[[#This Row],[x]]-D19</f>
        <v>1</v>
      </c>
      <c r="D20" s="6">
        <v>15</v>
      </c>
      <c r="E20" s="166">
        <f>MOD(INT(t_B2n5[[#This Row],[x]]/$B$1^INT(RIGHT(t_B2n5[[#Headers],[b4]],1))),$B$1)</f>
        <v>0</v>
      </c>
      <c r="F20" s="166">
        <f>MOD(INT(t_B2n5[[#This Row],[x]]/$B$1^INT(RIGHT(t_B2n5[[#Headers],[b3]],1))),$B$1)</f>
        <v>1</v>
      </c>
      <c r="G20" s="166">
        <f>MOD(INT(t_B2n5[[#This Row],[x]]/$B$1^INT(RIGHT(t_B2n5[[#Headers],[b2]],1))),$B$1)</f>
        <v>1</v>
      </c>
      <c r="H20" s="166">
        <f>MOD(INT(t_B2n5[[#This Row],[x]]/$B$1^INT(RIGHT(t_B2n5[[#Headers],[b1]],1))),$B$1)</f>
        <v>1</v>
      </c>
      <c r="I20" s="166">
        <f>MOD(INT(t_B2n5[[#This Row],[x]]/$B$1^INT(RIGHT(t_B2n5[[#Headers],[b0]],1))),$B$1)</f>
        <v>1</v>
      </c>
      <c r="J20" s="27" t="s">
        <v>0</v>
      </c>
      <c r="M20" s="17"/>
      <c r="Y20" s="17"/>
      <c r="Z20" s="17"/>
      <c r="AA20" s="17"/>
      <c r="AB20" s="17"/>
      <c r="AD20" s="17"/>
      <c r="AE20" s="17"/>
      <c r="AF20" s="17"/>
      <c r="AG20" s="17"/>
      <c r="AH20" s="17"/>
      <c r="AI20" s="17"/>
      <c r="AK20" s="17"/>
      <c r="AL20" s="17"/>
      <c r="AM20" s="17"/>
      <c r="AN20" s="17"/>
      <c r="AP20" s="17"/>
      <c r="AQ20" s="17"/>
      <c r="AR20" s="17"/>
      <c r="AS20" s="17"/>
      <c r="AT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row>
    <row r="21" spans="1:98" x14ac:dyDescent="0.25">
      <c r="A21" s="139">
        <v>16</v>
      </c>
      <c r="B21" s="139">
        <f>ROUNDUP(t_B2n5_Fixed[[#This Row],[Row]]-$B$3,0)</f>
        <v>1</v>
      </c>
      <c r="C21" s="12">
        <f>t_B2n5[[#This Row],[x]]-D20</f>
        <v>1</v>
      </c>
      <c r="D21" s="139">
        <v>16</v>
      </c>
      <c r="E21" s="43">
        <f>MOD(INT(t_B2n5[[#This Row],[x]]/$B$1^INT(RIGHT(t_B2n5[[#Headers],[b4]],1))),$B$1)</f>
        <v>1</v>
      </c>
      <c r="F21" s="43">
        <f>MOD(INT(t_B2n5[[#This Row],[x]]/$B$1^INT(RIGHT(t_B2n5[[#Headers],[b3]],1))),$B$1)</f>
        <v>0</v>
      </c>
      <c r="G21" s="43">
        <f>MOD(INT(t_B2n5[[#This Row],[x]]/$B$1^INT(RIGHT(t_B2n5[[#Headers],[b2]],1))),$B$1)</f>
        <v>0</v>
      </c>
      <c r="H21" s="43">
        <f>MOD(INT(t_B2n5[[#This Row],[x]]/$B$1^INT(RIGHT(t_B2n5[[#Headers],[b1]],1))),$B$1)</f>
        <v>0</v>
      </c>
      <c r="I21" s="43">
        <f>MOD(INT(t_B2n5[[#This Row],[x]]/$B$1^INT(RIGHT(t_B2n5[[#Headers],[b0]],1))),$B$1)</f>
        <v>0</v>
      </c>
      <c r="J21" s="17"/>
      <c r="L21" s="17"/>
      <c r="M21" s="17"/>
      <c r="Y21" s="17"/>
      <c r="Z21" s="17"/>
      <c r="AA21" s="17"/>
      <c r="AB21" s="17"/>
      <c r="AD21" s="17"/>
      <c r="AE21" s="17"/>
      <c r="AG21" s="17"/>
      <c r="AH21" s="17"/>
      <c r="AI21" s="17"/>
      <c r="AK21" s="17"/>
      <c r="AL21" s="17"/>
      <c r="AM21" s="17"/>
      <c r="AN21" s="17"/>
      <c r="AP21" s="17"/>
      <c r="AQ21" s="17"/>
      <c r="AR21" s="17"/>
      <c r="AS21" s="17"/>
      <c r="AT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row>
    <row r="22" spans="1:98" x14ac:dyDescent="0.25">
      <c r="A22" s="139">
        <v>17</v>
      </c>
      <c r="B22" s="139">
        <f>ROUNDUP(t_B2n5_Fixed[[#This Row],[Row]]-$B$3,0)</f>
        <v>2</v>
      </c>
      <c r="C22" s="12">
        <f>t_B2n5[[#This Row],[x]]-D21</f>
        <v>1</v>
      </c>
      <c r="D22" s="139">
        <v>17</v>
      </c>
      <c r="E22" s="45">
        <f>MOD(INT(t_B2n5[[#This Row],[x]]/$B$1^INT(RIGHT(t_B2n5[[#Headers],[b4]],1))),$B$1)</f>
        <v>1</v>
      </c>
      <c r="F22" s="45">
        <f>MOD(INT(t_B2n5[[#This Row],[x]]/$B$1^INT(RIGHT(t_B2n5[[#Headers],[b3]],1))),$B$1)</f>
        <v>0</v>
      </c>
      <c r="G22" s="45">
        <f>MOD(INT(t_B2n5[[#This Row],[x]]/$B$1^INT(RIGHT(t_B2n5[[#Headers],[b2]],1))),$B$1)</f>
        <v>0</v>
      </c>
      <c r="H22" s="45">
        <f>MOD(INT(t_B2n5[[#This Row],[x]]/$B$1^INT(RIGHT(t_B2n5[[#Headers],[b1]],1))),$B$1)</f>
        <v>0</v>
      </c>
      <c r="I22" s="45">
        <f>MOD(INT(t_B2n5[[#This Row],[x]]/$B$1^INT(RIGHT(t_B2n5[[#Headers],[b0]],1))),$B$1)</f>
        <v>1</v>
      </c>
      <c r="M22" s="17"/>
      <c r="Y22" s="17"/>
      <c r="Z22" s="17"/>
      <c r="AA22" s="17"/>
      <c r="AB22" s="17"/>
      <c r="AD22" s="17"/>
      <c r="AE22" s="17"/>
      <c r="AF22" s="17"/>
      <c r="AG22" s="17"/>
      <c r="AH22" s="17"/>
      <c r="AI22" s="17"/>
      <c r="AK22" s="17"/>
      <c r="AL22" s="17"/>
      <c r="AM22" s="17"/>
      <c r="AN22" s="17"/>
      <c r="AP22" s="17"/>
      <c r="AQ22" s="17"/>
      <c r="AR22" s="17"/>
      <c r="AS22" s="17"/>
      <c r="AT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row>
    <row r="23" spans="1:98" x14ac:dyDescent="0.25">
      <c r="A23" s="139">
        <v>18</v>
      </c>
      <c r="B23" s="139">
        <f>ROUNDUP(t_B2n5_Fixed[[#This Row],[Row]]-$B$3,0)</f>
        <v>3</v>
      </c>
      <c r="C23" s="12">
        <f>t_B2n5[[#This Row],[x]]-D22</f>
        <v>1</v>
      </c>
      <c r="D23" s="9">
        <v>18</v>
      </c>
      <c r="E23" s="167">
        <f>MOD(INT(t_B2n5[[#This Row],[x]]/$B$1^INT(RIGHT(t_B2n5[[#Headers],[b4]],1))),$B$1)</f>
        <v>1</v>
      </c>
      <c r="F23" s="167">
        <f>MOD(INT(t_B2n5[[#This Row],[x]]/$B$1^INT(RIGHT(t_B2n5[[#Headers],[b3]],1))),$B$1)</f>
        <v>0</v>
      </c>
      <c r="G23" s="167">
        <f>MOD(INT(t_B2n5[[#This Row],[x]]/$B$1^INT(RIGHT(t_B2n5[[#Headers],[b2]],1))),$B$1)</f>
        <v>0</v>
      </c>
      <c r="H23" s="167">
        <f>MOD(INT(t_B2n5[[#This Row],[x]]/$B$1^INT(RIGHT(t_B2n5[[#Headers],[b1]],1))),$B$1)</f>
        <v>1</v>
      </c>
      <c r="I23" s="167">
        <f>MOD(INT(t_B2n5[[#This Row],[x]]/$B$1^INT(RIGHT(t_B2n5[[#Headers],[b0]],1))),$B$1)</f>
        <v>0</v>
      </c>
      <c r="M23" s="17"/>
      <c r="Y23" s="17"/>
      <c r="Z23" s="17"/>
      <c r="AA23" s="17"/>
      <c r="AB23" s="17"/>
      <c r="AD23" s="17"/>
      <c r="AE23" s="17"/>
      <c r="AF23" s="17"/>
      <c r="AG23" s="17"/>
      <c r="AH23" s="17"/>
      <c r="AI23" s="17"/>
      <c r="AK23" s="17"/>
      <c r="AL23" s="17"/>
      <c r="AM23" s="17"/>
      <c r="AN23" s="17"/>
      <c r="AP23" s="17"/>
      <c r="AQ23" s="17"/>
      <c r="AR23" s="17"/>
      <c r="AS23" s="17"/>
      <c r="AT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row>
    <row r="24" spans="1:98" x14ac:dyDescent="0.25">
      <c r="A24" s="139">
        <v>19</v>
      </c>
      <c r="B24" s="139">
        <f>ROUNDUP(t_B2n5_Fixed[[#This Row],[Row]]-$B$3,0)</f>
        <v>4</v>
      </c>
      <c r="C24" s="12">
        <f>t_B2n5[[#This Row],[x]]-D23</f>
        <v>1</v>
      </c>
      <c r="D24" s="9">
        <v>19</v>
      </c>
      <c r="E24" s="170">
        <f>MOD(INT(t_B2n5[[#This Row],[x]]/$B$1^INT(RIGHT(t_B2n5[[#Headers],[b4]],1))),$B$1)</f>
        <v>1</v>
      </c>
      <c r="F24" s="170">
        <f>MOD(INT(t_B2n5[[#This Row],[x]]/$B$1^INT(RIGHT(t_B2n5[[#Headers],[b3]],1))),$B$1)</f>
        <v>0</v>
      </c>
      <c r="G24" s="170">
        <f>MOD(INT(t_B2n5[[#This Row],[x]]/$B$1^INT(RIGHT(t_B2n5[[#Headers],[b2]],1))),$B$1)</f>
        <v>0</v>
      </c>
      <c r="H24" s="170">
        <f>MOD(INT(t_B2n5[[#This Row],[x]]/$B$1^INT(RIGHT(t_B2n5[[#Headers],[b1]],1))),$B$1)</f>
        <v>1</v>
      </c>
      <c r="I24" s="170">
        <f>MOD(INT(t_B2n5[[#This Row],[x]]/$B$1^INT(RIGHT(t_B2n5[[#Headers],[b0]],1))),$B$1)</f>
        <v>1</v>
      </c>
      <c r="M24" s="17"/>
      <c r="Y24" s="17"/>
      <c r="Z24" s="17"/>
      <c r="AA24" s="17"/>
      <c r="AB24" s="17"/>
      <c r="AD24" s="17"/>
      <c r="AE24" s="17"/>
      <c r="AF24" s="17"/>
      <c r="AG24" s="17"/>
      <c r="AH24" s="17"/>
      <c r="AI24" s="17"/>
      <c r="AK24" s="17"/>
      <c r="AL24" s="17"/>
      <c r="AM24" s="17"/>
      <c r="AN24" s="17"/>
      <c r="AP24" s="17"/>
      <c r="AQ24" s="17"/>
      <c r="AR24" s="17"/>
      <c r="AS24" s="17"/>
      <c r="AT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row>
    <row r="25" spans="1:98" x14ac:dyDescent="0.25">
      <c r="A25" s="139">
        <v>20</v>
      </c>
      <c r="B25" s="139">
        <f>ROUNDUP(t_B2n5_Fixed[[#This Row],[Row]]-$B$3,0)</f>
        <v>5</v>
      </c>
      <c r="C25" s="12">
        <f>t_B2n5[[#This Row],[x]]-D24</f>
        <v>1</v>
      </c>
      <c r="D25" s="9">
        <v>20</v>
      </c>
      <c r="E25" s="167">
        <f>MOD(INT(t_B2n5[[#This Row],[x]]/$B$1^INT(RIGHT(t_B2n5[[#Headers],[b4]],1))),$B$1)</f>
        <v>1</v>
      </c>
      <c r="F25" s="167">
        <f>MOD(INT(t_B2n5[[#This Row],[x]]/$B$1^INT(RIGHT(t_B2n5[[#Headers],[b3]],1))),$B$1)</f>
        <v>0</v>
      </c>
      <c r="G25" s="167">
        <f>MOD(INT(t_B2n5[[#This Row],[x]]/$B$1^INT(RIGHT(t_B2n5[[#Headers],[b2]],1))),$B$1)</f>
        <v>1</v>
      </c>
      <c r="H25" s="167">
        <f>MOD(INT(t_B2n5[[#This Row],[x]]/$B$1^INT(RIGHT(t_B2n5[[#Headers],[b1]],1))),$B$1)</f>
        <v>0</v>
      </c>
      <c r="I25" s="167">
        <f>MOD(INT(t_B2n5[[#This Row],[x]]/$B$1^INT(RIGHT(t_B2n5[[#Headers],[b0]],1))),$B$1)</f>
        <v>0</v>
      </c>
      <c r="M25" s="17"/>
      <c r="Y25" s="17"/>
      <c r="Z25" s="17"/>
      <c r="AA25" s="17"/>
      <c r="AB25" s="17"/>
      <c r="AD25" s="17"/>
      <c r="AE25" s="17"/>
      <c r="AF25" s="17"/>
      <c r="AG25" s="17"/>
      <c r="AH25" s="17"/>
      <c r="AI25" s="17"/>
      <c r="AK25" s="17"/>
      <c r="AL25" s="17"/>
      <c r="AM25" s="17"/>
      <c r="AN25" s="17"/>
      <c r="AP25" s="17"/>
      <c r="AQ25" s="17"/>
      <c r="AR25" s="17"/>
      <c r="AS25" s="17"/>
      <c r="AT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row>
    <row r="26" spans="1:98" x14ac:dyDescent="0.25">
      <c r="A26" s="139">
        <v>21</v>
      </c>
      <c r="B26" s="139">
        <f>ROUNDUP(t_B2n5_Fixed[[#This Row],[Row]]-$B$3,0)</f>
        <v>6</v>
      </c>
      <c r="C26" s="12">
        <f>t_B2n5[[#This Row],[x]]-D25</f>
        <v>1</v>
      </c>
      <c r="D26" s="9">
        <v>21</v>
      </c>
      <c r="E26" s="184">
        <f>MOD(INT(t_B2n5[[#This Row],[x]]/$B$1^INT(RIGHT(t_B2n5[[#Headers],[b4]],1))),$B$1)</f>
        <v>1</v>
      </c>
      <c r="F26" s="184">
        <f>MOD(INT(t_B2n5[[#This Row],[x]]/$B$1^INT(RIGHT(t_B2n5[[#Headers],[b3]],1))),$B$1)</f>
        <v>0</v>
      </c>
      <c r="G26" s="184">
        <f>MOD(INT(t_B2n5[[#This Row],[x]]/$B$1^INT(RIGHT(t_B2n5[[#Headers],[b2]],1))),$B$1)</f>
        <v>1</v>
      </c>
      <c r="H26" s="184">
        <f>MOD(INT(t_B2n5[[#This Row],[x]]/$B$1^INT(RIGHT(t_B2n5[[#Headers],[b1]],1))),$B$1)</f>
        <v>0</v>
      </c>
      <c r="I26" s="184">
        <f>MOD(INT(t_B2n5[[#This Row],[x]]/$B$1^INT(RIGHT(t_B2n5[[#Headers],[b0]],1))),$B$1)</f>
        <v>1</v>
      </c>
      <c r="M26" s="17"/>
    </row>
    <row r="27" spans="1:98" x14ac:dyDescent="0.25">
      <c r="A27" s="139">
        <v>22</v>
      </c>
      <c r="B27" s="139">
        <f>ROUNDUP(t_B2n5_Fixed[[#This Row],[Row]]-$B$3,0)</f>
        <v>7</v>
      </c>
      <c r="C27" s="12">
        <f>t_B2n5[[#This Row],[x]]-D26</f>
        <v>1</v>
      </c>
      <c r="D27" s="9">
        <v>22</v>
      </c>
      <c r="E27" s="184">
        <f>MOD(INT(t_B2n5[[#This Row],[x]]/$B$1^INT(RIGHT(t_B2n5[[#Headers],[b4]],1))),$B$1)</f>
        <v>1</v>
      </c>
      <c r="F27" s="184">
        <f>MOD(INT(t_B2n5[[#This Row],[x]]/$B$1^INT(RIGHT(t_B2n5[[#Headers],[b3]],1))),$B$1)</f>
        <v>0</v>
      </c>
      <c r="G27" s="184">
        <f>MOD(INT(t_B2n5[[#This Row],[x]]/$B$1^INT(RIGHT(t_B2n5[[#Headers],[b2]],1))),$B$1)</f>
        <v>1</v>
      </c>
      <c r="H27" s="184">
        <f>MOD(INT(t_B2n5[[#This Row],[x]]/$B$1^INT(RIGHT(t_B2n5[[#Headers],[b1]],1))),$B$1)</f>
        <v>1</v>
      </c>
      <c r="I27" s="184">
        <f>MOD(INT(t_B2n5[[#This Row],[x]]/$B$1^INT(RIGHT(t_B2n5[[#Headers],[b0]],1))),$B$1)</f>
        <v>0</v>
      </c>
      <c r="M27" s="17"/>
    </row>
    <row r="28" spans="1:98" x14ac:dyDescent="0.25">
      <c r="A28" s="139">
        <v>23</v>
      </c>
      <c r="B28" s="139">
        <f>ROUNDUP(t_B2n5_Fixed[[#This Row],[Row]]-$B$3,0)</f>
        <v>8</v>
      </c>
      <c r="C28" s="12">
        <f>t_B2n5[[#This Row],[x]]-D27</f>
        <v>1</v>
      </c>
      <c r="D28" s="139">
        <v>23</v>
      </c>
      <c r="E28" s="55">
        <f>MOD(INT(t_B2n5[[#This Row],[x]]/$B$1^INT(RIGHT(t_B2n5[[#Headers],[b4]],1))),$B$1)</f>
        <v>1</v>
      </c>
      <c r="F28" s="55">
        <f>MOD(INT(t_B2n5[[#This Row],[x]]/$B$1^INT(RIGHT(t_B2n5[[#Headers],[b3]],1))),$B$1)</f>
        <v>0</v>
      </c>
      <c r="G28" s="55">
        <f>MOD(INT(t_B2n5[[#This Row],[x]]/$B$1^INT(RIGHT(t_B2n5[[#Headers],[b2]],1))),$B$1)</f>
        <v>1</v>
      </c>
      <c r="H28" s="55">
        <f>MOD(INT(t_B2n5[[#This Row],[x]]/$B$1^INT(RIGHT(t_B2n5[[#Headers],[b1]],1))),$B$1)</f>
        <v>1</v>
      </c>
      <c r="I28" s="55">
        <f>MOD(INT(t_B2n5[[#This Row],[x]]/$B$1^INT(RIGHT(t_B2n5[[#Headers],[b0]],1))),$B$1)</f>
        <v>1</v>
      </c>
      <c r="M28" s="17"/>
    </row>
    <row r="29" spans="1:98" x14ac:dyDescent="0.25">
      <c r="A29" s="139">
        <v>24</v>
      </c>
      <c r="B29" s="139">
        <f>ROUNDUP(t_B2n5_Fixed[[#This Row],[Row]]-$B$3,0)</f>
        <v>9</v>
      </c>
      <c r="C29" s="12">
        <f>t_B2n5[[#This Row],[x]]-D28</f>
        <v>1</v>
      </c>
      <c r="D29" s="139">
        <v>24</v>
      </c>
      <c r="E29" s="45">
        <f>MOD(INT(t_B2n5[[#This Row],[x]]/$B$1^INT(RIGHT(t_B2n5[[#Headers],[b4]],1))),$B$1)</f>
        <v>1</v>
      </c>
      <c r="F29" s="45">
        <f>MOD(INT(t_B2n5[[#This Row],[x]]/$B$1^INT(RIGHT(t_B2n5[[#Headers],[b3]],1))),$B$1)</f>
        <v>1</v>
      </c>
      <c r="G29" s="45">
        <f>MOD(INT(t_B2n5[[#This Row],[x]]/$B$1^INT(RIGHT(t_B2n5[[#Headers],[b2]],1))),$B$1)</f>
        <v>0</v>
      </c>
      <c r="H29" s="45">
        <f>MOD(INT(t_B2n5[[#This Row],[x]]/$B$1^INT(RIGHT(t_B2n5[[#Headers],[b1]],1))),$B$1)</f>
        <v>0</v>
      </c>
      <c r="I29" s="45">
        <f>MOD(INT(t_B2n5[[#This Row],[x]]/$B$1^INT(RIGHT(t_B2n5[[#Headers],[b0]],1))),$B$1)</f>
        <v>0</v>
      </c>
      <c r="AH29" s="17"/>
    </row>
    <row r="30" spans="1:98" x14ac:dyDescent="0.25">
      <c r="A30" s="139">
        <v>25</v>
      </c>
      <c r="B30" s="139">
        <f>ROUNDUP(t_B2n5_Fixed[[#This Row],[Row]]-$B$3,0)</f>
        <v>10</v>
      </c>
      <c r="C30" s="12">
        <f>t_B2n5[[#This Row],[x]]-D29</f>
        <v>1</v>
      </c>
      <c r="D30" s="139">
        <v>25</v>
      </c>
      <c r="E30" s="170">
        <f>MOD(INT(t_B2n5[[#This Row],[x]]/$B$1^INT(RIGHT(t_B2n5[[#Headers],[b4]],1))),$B$1)</f>
        <v>1</v>
      </c>
      <c r="F30" s="170">
        <f>MOD(INT(t_B2n5[[#This Row],[x]]/$B$1^INT(RIGHT(t_B2n5[[#Headers],[b3]],1))),$B$1)</f>
        <v>1</v>
      </c>
      <c r="G30" s="170">
        <f>MOD(INT(t_B2n5[[#This Row],[x]]/$B$1^INT(RIGHT(t_B2n5[[#Headers],[b2]],1))),$B$1)</f>
        <v>0</v>
      </c>
      <c r="H30" s="170">
        <f>MOD(INT(t_B2n5[[#This Row],[x]]/$B$1^INT(RIGHT(t_B2n5[[#Headers],[b1]],1))),$B$1)</f>
        <v>0</v>
      </c>
      <c r="I30" s="170">
        <f>MOD(INT(t_B2n5[[#This Row],[x]]/$B$1^INT(RIGHT(t_B2n5[[#Headers],[b0]],1))),$B$1)</f>
        <v>1</v>
      </c>
      <c r="AH30" s="17"/>
    </row>
    <row r="31" spans="1:98" x14ac:dyDescent="0.25">
      <c r="A31" s="139">
        <v>26</v>
      </c>
      <c r="B31" s="139">
        <f>ROUNDUP(t_B2n5_Fixed[[#This Row],[Row]]-$B$3,0)</f>
        <v>11</v>
      </c>
      <c r="C31" s="12">
        <f>t_B2n5[[#This Row],[x]]-D30</f>
        <v>1</v>
      </c>
      <c r="D31" s="9">
        <v>26</v>
      </c>
      <c r="E31" s="184">
        <f>MOD(INT(t_B2n5[[#This Row],[x]]/$B$1^INT(RIGHT(t_B2n5[[#Headers],[b4]],1))),$B$1)</f>
        <v>1</v>
      </c>
      <c r="F31" s="184">
        <f>MOD(INT(t_B2n5[[#This Row],[x]]/$B$1^INT(RIGHT(t_B2n5[[#Headers],[b3]],1))),$B$1)</f>
        <v>1</v>
      </c>
      <c r="G31" s="184">
        <f>MOD(INT(t_B2n5[[#This Row],[x]]/$B$1^INT(RIGHT(t_B2n5[[#Headers],[b2]],1))),$B$1)</f>
        <v>0</v>
      </c>
      <c r="H31" s="184">
        <f>MOD(INT(t_B2n5[[#This Row],[x]]/$B$1^INT(RIGHT(t_B2n5[[#Headers],[b1]],1))),$B$1)</f>
        <v>1</v>
      </c>
      <c r="I31" s="184">
        <f>MOD(INT(t_B2n5[[#This Row],[x]]/$B$1^INT(RIGHT(t_B2n5[[#Headers],[b0]],1))),$B$1)</f>
        <v>0</v>
      </c>
      <c r="AH31" s="17"/>
    </row>
    <row r="32" spans="1:98" x14ac:dyDescent="0.25">
      <c r="A32" s="139">
        <v>27</v>
      </c>
      <c r="B32" s="139">
        <f>ROUNDUP(t_B2n5_Fixed[[#This Row],[Row]]-$B$3,0)</f>
        <v>12</v>
      </c>
      <c r="C32" s="12">
        <f>t_B2n5[[#This Row],[x]]-D31</f>
        <v>1</v>
      </c>
      <c r="D32" s="139">
        <v>27</v>
      </c>
      <c r="E32" s="55">
        <f>MOD(INT(t_B2n5[[#This Row],[x]]/$B$1^INT(RIGHT(t_B2n5[[#Headers],[b4]],1))),$B$1)</f>
        <v>1</v>
      </c>
      <c r="F32" s="55">
        <f>MOD(INT(t_B2n5[[#This Row],[x]]/$B$1^INT(RIGHT(t_B2n5[[#Headers],[b3]],1))),$B$1)</f>
        <v>1</v>
      </c>
      <c r="G32" s="55">
        <f>MOD(INT(t_B2n5[[#This Row],[x]]/$B$1^INT(RIGHT(t_B2n5[[#Headers],[b2]],1))),$B$1)</f>
        <v>0</v>
      </c>
      <c r="H32" s="55">
        <f>MOD(INT(t_B2n5[[#This Row],[x]]/$B$1^INT(RIGHT(t_B2n5[[#Headers],[b1]],1))),$B$1)</f>
        <v>1</v>
      </c>
      <c r="I32" s="55">
        <f>MOD(INT(t_B2n5[[#This Row],[x]]/$B$1^INT(RIGHT(t_B2n5[[#Headers],[b0]],1))),$B$1)</f>
        <v>1</v>
      </c>
    </row>
    <row r="33" spans="1:10" x14ac:dyDescent="0.25">
      <c r="A33" s="139">
        <v>28</v>
      </c>
      <c r="B33" s="139">
        <f>ROUNDUP(t_B2n5_Fixed[[#This Row],[Row]]-$B$3,0)</f>
        <v>13</v>
      </c>
      <c r="C33" s="12">
        <f>t_B2n5[[#This Row],[x]]-D32</f>
        <v>1</v>
      </c>
      <c r="D33" s="9">
        <v>28</v>
      </c>
      <c r="E33" s="170">
        <f>MOD(INT(t_B2n5[[#This Row],[x]]/$B$1^INT(RIGHT(t_B2n5[[#Headers],[b4]],1))),$B$1)</f>
        <v>1</v>
      </c>
      <c r="F33" s="170">
        <f>MOD(INT(t_B2n5[[#This Row],[x]]/$B$1^INT(RIGHT(t_B2n5[[#Headers],[b3]],1))),$B$1)</f>
        <v>1</v>
      </c>
      <c r="G33" s="170">
        <f>MOD(INT(t_B2n5[[#This Row],[x]]/$B$1^INT(RIGHT(t_B2n5[[#Headers],[b2]],1))),$B$1)</f>
        <v>1</v>
      </c>
      <c r="H33" s="170">
        <f>MOD(INT(t_B2n5[[#This Row],[x]]/$B$1^INT(RIGHT(t_B2n5[[#Headers],[b1]],1))),$B$1)</f>
        <v>0</v>
      </c>
      <c r="I33" s="170">
        <f>MOD(INT(t_B2n5[[#This Row],[x]]/$B$1^INT(RIGHT(t_B2n5[[#Headers],[b0]],1))),$B$1)</f>
        <v>0</v>
      </c>
    </row>
    <row r="34" spans="1:10" x14ac:dyDescent="0.25">
      <c r="A34" s="139">
        <v>29</v>
      </c>
      <c r="B34" s="139">
        <f>ROUNDUP(t_B2n5_Fixed[[#This Row],[Row]]-$B$3,0)</f>
        <v>14</v>
      </c>
      <c r="C34" s="12">
        <f>t_B2n5[[#This Row],[x]]-D33</f>
        <v>1</v>
      </c>
      <c r="D34" s="139">
        <v>29</v>
      </c>
      <c r="E34" s="55">
        <f>MOD(INT(t_B2n5[[#This Row],[x]]/$B$1^INT(RIGHT(t_B2n5[[#Headers],[b4]],1))),$B$1)</f>
        <v>1</v>
      </c>
      <c r="F34" s="55">
        <f>MOD(INT(t_B2n5[[#This Row],[x]]/$B$1^INT(RIGHT(t_B2n5[[#Headers],[b3]],1))),$B$1)</f>
        <v>1</v>
      </c>
      <c r="G34" s="55">
        <f>MOD(INT(t_B2n5[[#This Row],[x]]/$B$1^INT(RIGHT(t_B2n5[[#Headers],[b2]],1))),$B$1)</f>
        <v>1</v>
      </c>
      <c r="H34" s="55">
        <f>MOD(INT(t_B2n5[[#This Row],[x]]/$B$1^INT(RIGHT(t_B2n5[[#Headers],[b1]],1))),$B$1)</f>
        <v>0</v>
      </c>
      <c r="I34" s="55">
        <f>MOD(INT(t_B2n5[[#This Row],[x]]/$B$1^INT(RIGHT(t_B2n5[[#Headers],[b0]],1))),$B$1)</f>
        <v>1</v>
      </c>
    </row>
    <row r="35" spans="1:10" x14ac:dyDescent="0.25">
      <c r="A35" s="139">
        <v>30</v>
      </c>
      <c r="B35" s="139">
        <f>ROUNDUP(t_B2n5_Fixed[[#This Row],[Row]]-$B$3,0)</f>
        <v>15</v>
      </c>
      <c r="C35" s="12">
        <f>t_B2n5[[#This Row],[x]]-D34</f>
        <v>1</v>
      </c>
      <c r="D35" s="139">
        <v>30</v>
      </c>
      <c r="E35" s="55">
        <f>MOD(INT(t_B2n5[[#This Row],[x]]/$B$1^INT(RIGHT(t_B2n5[[#Headers],[b4]],1))),$B$1)</f>
        <v>1</v>
      </c>
      <c r="F35" s="55">
        <f>MOD(INT(t_B2n5[[#This Row],[x]]/$B$1^INT(RIGHT(t_B2n5[[#Headers],[b3]],1))),$B$1)</f>
        <v>1</v>
      </c>
      <c r="G35" s="55">
        <f>MOD(INT(t_B2n5[[#This Row],[x]]/$B$1^INT(RIGHT(t_B2n5[[#Headers],[b2]],1))),$B$1)</f>
        <v>1</v>
      </c>
      <c r="H35" s="55">
        <f>MOD(INT(t_B2n5[[#This Row],[x]]/$B$1^INT(RIGHT(t_B2n5[[#Headers],[b1]],1))),$B$1)</f>
        <v>1</v>
      </c>
      <c r="I35" s="55">
        <f>MOD(INT(t_B2n5[[#This Row],[x]]/$B$1^INT(RIGHT(t_B2n5[[#Headers],[b0]],1))),$B$1)</f>
        <v>0</v>
      </c>
    </row>
    <row r="36" spans="1:10" x14ac:dyDescent="0.25">
      <c r="A36" s="139">
        <v>31</v>
      </c>
      <c r="B36" s="139">
        <f>ROUNDUP(t_B2n5_Fixed[[#This Row],[Row]]-$B$3,0)</f>
        <v>16</v>
      </c>
      <c r="C36" s="12">
        <f>t_B2n5[[#This Row],[x]]-D35</f>
        <v>1</v>
      </c>
      <c r="D36" s="139">
        <v>31</v>
      </c>
      <c r="E36" s="76">
        <f>MOD(INT(t_B2n5[[#This Row],[x]]/$B$1^INT(RIGHT(t_B2n5[[#Headers],[b4]],1))),$B$1)</f>
        <v>1</v>
      </c>
      <c r="F36" s="76">
        <f>MOD(INT(t_B2n5[[#This Row],[x]]/$B$1^INT(RIGHT(t_B2n5[[#Headers],[b3]],1))),$B$1)</f>
        <v>1</v>
      </c>
      <c r="G36" s="76">
        <f>MOD(INT(t_B2n5[[#This Row],[x]]/$B$1^INT(RIGHT(t_B2n5[[#Headers],[b2]],1))),$B$1)</f>
        <v>1</v>
      </c>
      <c r="H36" s="76">
        <f>MOD(INT(t_B2n5[[#This Row],[x]]/$B$1^INT(RIGHT(t_B2n5[[#Headers],[b1]],1))),$B$1)</f>
        <v>1</v>
      </c>
      <c r="I36" s="76">
        <f>MOD(INT(t_B2n5[[#This Row],[x]]/$B$1^INT(RIGHT(t_B2n5[[#Headers],[b0]],1))),$B$1)</f>
        <v>1</v>
      </c>
    </row>
    <row r="37" spans="1:10" x14ac:dyDescent="0.25">
      <c r="A37" s="197" t="s">
        <v>1</v>
      </c>
      <c r="B37" s="139"/>
      <c r="C37">
        <f>SUBTOTAL(109,t_B2n5_Fixed[Interval])</f>
        <v>31</v>
      </c>
      <c r="D37" s="17" t="s">
        <v>1</v>
      </c>
      <c r="E37" s="17">
        <f>SUBTOTAL(109,t_B2n5[b4])</f>
        <v>16</v>
      </c>
      <c r="F37" s="17">
        <f>SUBTOTAL(109,t_B2n5[b3])</f>
        <v>16</v>
      </c>
      <c r="G37" s="17">
        <f>SUBTOTAL(109,t_B2n5[b2])</f>
        <v>16</v>
      </c>
      <c r="H37" s="17">
        <f>SUBTOTAL(109,t_B2n5[b1])</f>
        <v>16</v>
      </c>
      <c r="I37" s="17">
        <f>SUBTOTAL(109,t_B2n5[b0])</f>
        <v>16</v>
      </c>
    </row>
    <row r="40" spans="1:10" x14ac:dyDescent="0.25">
      <c r="B40" s="2"/>
      <c r="C40" s="29"/>
      <c r="D40" s="10"/>
      <c r="E40" s="10"/>
      <c r="F40" s="10"/>
      <c r="G40" s="10"/>
      <c r="H40" s="10"/>
      <c r="I40" s="2"/>
      <c r="J40" s="2"/>
    </row>
    <row r="41" spans="1:10" x14ac:dyDescent="0.25">
      <c r="B41" s="2"/>
      <c r="C41" s="29"/>
      <c r="D41" s="10"/>
      <c r="E41" s="10"/>
      <c r="F41" s="10"/>
      <c r="G41" s="10"/>
      <c r="H41" s="10"/>
      <c r="I41" s="2"/>
      <c r="J41" s="2"/>
    </row>
  </sheetData>
  <pageMargins left="0.7" right="0.7" top="0.75" bottom="0.75" header="0.3" footer="0.3"/>
  <pageSetup paperSize="9"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1179-F998-4672-A356-1AE809286950}">
  <dimension ref="A1:CB69"/>
  <sheetViews>
    <sheetView zoomScaleNormal="100" workbookViewId="0"/>
  </sheetViews>
  <sheetFormatPr defaultColWidth="9.140625" defaultRowHeight="15" x14ac:dyDescent="0.25"/>
  <cols>
    <col min="1" max="1" width="9.5703125" style="17" bestFit="1" customWidth="1"/>
    <col min="2" max="2" width="7" style="17" bestFit="1" customWidth="1"/>
    <col min="3" max="3" width="3.7109375" style="17" bestFit="1" customWidth="1"/>
    <col min="4" max="4" width="5.7109375" style="17" bestFit="1" customWidth="1"/>
    <col min="5" max="10" width="5.140625" style="17" bestFit="1" customWidth="1"/>
    <col min="11" max="11" width="7.85546875" style="17" bestFit="1" customWidth="1"/>
    <col min="12" max="12" width="7.85546875" style="17" customWidth="1"/>
    <col min="13" max="13" width="27.7109375" style="17" bestFit="1" customWidth="1"/>
    <col min="14" max="15" width="4.140625" style="17" bestFit="1" customWidth="1"/>
    <col min="16" max="17" width="3.85546875" style="157" bestFit="1" customWidth="1"/>
    <col min="18" max="18" width="2.5703125" style="157" customWidth="1"/>
    <col min="19" max="20" width="3.85546875" style="157" bestFit="1" customWidth="1"/>
    <col min="21" max="21" width="2.5703125" style="157" customWidth="1"/>
    <col min="22" max="23" width="3.85546875" style="157" bestFit="1" customWidth="1"/>
    <col min="24" max="24" width="2.5703125" style="157" customWidth="1"/>
    <col min="25" max="26" width="3.85546875" style="157" bestFit="1" customWidth="1"/>
    <col min="27" max="27" width="2.5703125" style="157" customWidth="1"/>
    <col min="28" max="28" width="9.140625" style="17"/>
    <col min="29" max="29" width="3.7109375" style="17" bestFit="1" customWidth="1"/>
    <col min="30" max="30" width="6" style="17" bestFit="1" customWidth="1"/>
    <col min="31" max="31" width="4.85546875" style="17" bestFit="1" customWidth="1"/>
    <col min="32" max="32" width="12.85546875" style="17" bestFit="1" customWidth="1"/>
    <col min="33" max="33" width="7.85546875" style="17" customWidth="1"/>
    <col min="34" max="34" width="9.140625" style="17"/>
    <col min="35" max="35" width="3.7109375" style="17" bestFit="1" customWidth="1"/>
    <col min="36" max="36" width="6" style="17" customWidth="1"/>
    <col min="37" max="38" width="4.85546875" style="17" bestFit="1" customWidth="1"/>
    <col min="39" max="39" width="12.85546875" style="17" bestFit="1" customWidth="1"/>
    <col min="40" max="40" width="7.85546875" style="17" bestFit="1" customWidth="1"/>
    <col min="41" max="41" width="9.140625" style="17"/>
    <col min="42" max="42" width="3.7109375" style="17" bestFit="1" customWidth="1"/>
    <col min="43" max="43" width="6" style="17" bestFit="1" customWidth="1"/>
    <col min="44" max="45" width="4.85546875" style="17" bestFit="1" customWidth="1"/>
    <col min="46" max="46" width="12.85546875" style="17" bestFit="1" customWidth="1"/>
    <col min="47" max="47" width="7.85546875" style="17" bestFit="1" customWidth="1"/>
    <col min="48" max="49" width="3.7109375" style="17" bestFit="1" customWidth="1"/>
    <col min="50" max="50" width="6" style="17" bestFit="1" customWidth="1"/>
    <col min="51" max="52" width="4.85546875" style="17" bestFit="1" customWidth="1"/>
    <col min="53" max="53" width="12.85546875" style="17" bestFit="1" customWidth="1"/>
    <col min="54" max="54" width="7.85546875" style="17" bestFit="1" customWidth="1"/>
    <col min="55" max="55" width="5.42578125" style="17" bestFit="1" customWidth="1"/>
    <col min="56" max="56" width="3.7109375" style="17" bestFit="1" customWidth="1"/>
    <col min="57" max="57" width="6" style="17" bestFit="1" customWidth="1"/>
    <col min="58" max="59" width="4.85546875" style="17" bestFit="1" customWidth="1"/>
    <col min="60" max="60" width="12.85546875" style="17" bestFit="1" customWidth="1"/>
    <col min="61" max="61" width="7.85546875" style="17" bestFit="1" customWidth="1"/>
    <col min="62" max="62" width="6" style="17" bestFit="1" customWidth="1"/>
    <col min="63" max="63" width="3.7109375" style="17" bestFit="1" customWidth="1"/>
    <col min="64" max="64" width="6" style="17" bestFit="1" customWidth="1"/>
    <col min="65" max="66" width="4.85546875" style="17" bestFit="1" customWidth="1"/>
    <col min="67" max="67" width="12.85546875" style="17" bestFit="1" customWidth="1"/>
    <col min="68" max="68" width="7.85546875" style="17" bestFit="1" customWidth="1"/>
    <col min="69" max="69" width="12.85546875" style="17" bestFit="1" customWidth="1"/>
    <col min="70" max="70" width="3.7109375" style="17" bestFit="1" customWidth="1"/>
    <col min="71" max="71" width="6" style="17" bestFit="1" customWidth="1"/>
    <col min="72" max="72" width="4.85546875" style="17" bestFit="1" customWidth="1"/>
    <col min="73" max="73" width="12.85546875" style="17" bestFit="1" customWidth="1"/>
    <col min="74" max="74" width="7.85546875" style="17" bestFit="1" customWidth="1"/>
    <col min="75" max="75" width="12.85546875" style="17" bestFit="1" customWidth="1"/>
    <col min="76" max="76" width="3.7109375" style="17" customWidth="1"/>
    <col min="77" max="77" width="6" style="17" bestFit="1" customWidth="1"/>
    <col min="78" max="78" width="4.85546875" style="17" bestFit="1" customWidth="1"/>
    <col min="79" max="79" width="12.85546875" style="17" bestFit="1" customWidth="1"/>
    <col min="80" max="80" width="7.85546875" style="17" bestFit="1" customWidth="1"/>
    <col min="81" max="16384" width="9.140625" style="17"/>
  </cols>
  <sheetData>
    <row r="1" spans="1:80" ht="18.75" x14ac:dyDescent="0.3">
      <c r="A1" s="202" t="s">
        <v>2</v>
      </c>
      <c r="B1" s="203">
        <v>2</v>
      </c>
    </row>
    <row r="2" spans="1:80" ht="18.75" x14ac:dyDescent="0.3">
      <c r="A2" s="202" t="s">
        <v>4</v>
      </c>
      <c r="B2" s="203">
        <v>6</v>
      </c>
    </row>
    <row r="3" spans="1:80" ht="18.75" x14ac:dyDescent="0.3">
      <c r="A3" s="202" t="s">
        <v>0</v>
      </c>
      <c r="B3" s="203">
        <f>(B1^B2 - 1)/2</f>
        <v>31.5</v>
      </c>
    </row>
    <row r="4" spans="1:80" ht="51.75" thickBot="1" x14ac:dyDescent="0.3">
      <c r="A4" s="120" t="s">
        <v>25</v>
      </c>
      <c r="B4" s="120" t="s">
        <v>26</v>
      </c>
      <c r="C4" s="120" t="s">
        <v>28</v>
      </c>
      <c r="D4" s="208" t="s">
        <v>27</v>
      </c>
      <c r="E4" s="121" t="s">
        <v>12</v>
      </c>
      <c r="F4" s="121" t="s">
        <v>11</v>
      </c>
      <c r="G4" s="121" t="s">
        <v>10</v>
      </c>
      <c r="H4" s="121" t="s">
        <v>9</v>
      </c>
      <c r="I4" s="121" t="s">
        <v>8</v>
      </c>
      <c r="J4" s="121" t="s">
        <v>7</v>
      </c>
      <c r="AC4" s="120" t="s">
        <v>28</v>
      </c>
      <c r="AD4" s="322" t="s">
        <v>26</v>
      </c>
      <c r="AE4" s="379" t="s">
        <v>539</v>
      </c>
      <c r="AF4" s="332" t="s">
        <v>537</v>
      </c>
      <c r="AI4" s="120" t="s">
        <v>28</v>
      </c>
      <c r="AJ4" s="322" t="s">
        <v>26</v>
      </c>
      <c r="AK4" s="323" t="s">
        <v>538</v>
      </c>
      <c r="AL4" s="379" t="s">
        <v>539</v>
      </c>
      <c r="AM4" s="324" t="s">
        <v>537</v>
      </c>
      <c r="AN4" s="16"/>
      <c r="AP4" s="120" t="s">
        <v>28</v>
      </c>
      <c r="AQ4" s="120" t="s">
        <v>26</v>
      </c>
      <c r="AR4" s="254" t="s">
        <v>538</v>
      </c>
      <c r="AS4" s="254" t="s">
        <v>539</v>
      </c>
      <c r="AT4" s="120" t="s">
        <v>537</v>
      </c>
      <c r="AW4" s="120" t="s">
        <v>28</v>
      </c>
      <c r="AX4" s="120" t="s">
        <v>26</v>
      </c>
      <c r="AY4" s="254" t="s">
        <v>538</v>
      </c>
      <c r="AZ4" s="254" t="s">
        <v>539</v>
      </c>
      <c r="BA4" s="120" t="s">
        <v>537</v>
      </c>
      <c r="BD4" s="120" t="s">
        <v>28</v>
      </c>
      <c r="BE4" s="120" t="s">
        <v>26</v>
      </c>
      <c r="BF4" s="254" t="s">
        <v>538</v>
      </c>
      <c r="BG4" s="254" t="s">
        <v>539</v>
      </c>
      <c r="BH4" s="120" t="s">
        <v>537</v>
      </c>
      <c r="BK4" s="120" t="s">
        <v>28</v>
      </c>
      <c r="BL4" s="120" t="s">
        <v>26</v>
      </c>
      <c r="BM4" s="254" t="s">
        <v>538</v>
      </c>
      <c r="BN4" s="254" t="s">
        <v>539</v>
      </c>
      <c r="BO4" s="120" t="s">
        <v>537</v>
      </c>
      <c r="BR4" s="120" t="s">
        <v>28</v>
      </c>
      <c r="BS4" s="322" t="s">
        <v>26</v>
      </c>
      <c r="BT4" s="323" t="s">
        <v>538</v>
      </c>
      <c r="BU4" s="324" t="s">
        <v>537</v>
      </c>
      <c r="BX4" s="120" t="s">
        <v>28</v>
      </c>
      <c r="BY4" s="322" t="s">
        <v>26</v>
      </c>
      <c r="BZ4" s="323" t="s">
        <v>538</v>
      </c>
      <c r="CA4" s="324" t="s">
        <v>537</v>
      </c>
      <c r="CB4" s="16"/>
    </row>
    <row r="5" spans="1:80" ht="16.5" thickTop="1" thickBot="1" x14ac:dyDescent="0.3">
      <c r="A5" s="139">
        <v>0</v>
      </c>
      <c r="B5" s="19">
        <f>ROUNDUP(t_B2n6_Fixed[[#This Row],[Row]]-$B$3,0)</f>
        <v>-32</v>
      </c>
      <c r="C5" s="18"/>
      <c r="D5" s="14">
        <v>0</v>
      </c>
      <c r="E5" s="168">
        <f>MOD(INT(t_B2n6[[#This Row],[x]]/$B$1^INT(RIGHT(t_B2n6[[#Headers],[b5]],1))),$B$1)</f>
        <v>0</v>
      </c>
      <c r="F5" s="168">
        <f>MOD(INT(t_B2n6[[#This Row],[x]]/$B$1^INT(RIGHT(t_B2n6[[#Headers],[b4]],1))),$B$1)</f>
        <v>0</v>
      </c>
      <c r="G5" s="168">
        <f>MOD(INT(t_B2n6[[#This Row],[x]]/$B$1^INT(RIGHT(t_B2n6[[#Headers],[b3]],1))),$B$1)</f>
        <v>0</v>
      </c>
      <c r="H5" s="168">
        <f>MOD(INT(t_B2n6[[#This Row],[x]]/$B$1^INT(RIGHT(t_B2n6[[#Headers],[b2]],1))),$B$1)</f>
        <v>0</v>
      </c>
      <c r="I5" s="168">
        <f>MOD(INT(t_B2n6[[#This Row],[x]]/$B$1^INT(RIGHT(t_B2n6[[#Headers],[b1]],1))),$B$1)</f>
        <v>0</v>
      </c>
      <c r="J5" s="168">
        <f>MOD(INT(t_B2n6[[#This Row],[x]]/$B$1^INT(RIGHT(t_B2n6[[#Headers],[b0]],1))),$B$1)</f>
        <v>0</v>
      </c>
      <c r="AC5" s="139"/>
      <c r="AD5" s="320">
        <f>INDEX(t_B2n6_Fixed[Offset],MATCH($A$5,t_B2n6[x],0),1)</f>
        <v>-32</v>
      </c>
      <c r="AE5" s="314">
        <v>0</v>
      </c>
      <c r="AF5" s="331" t="s">
        <v>113</v>
      </c>
      <c r="AG5" s="27" t="s">
        <v>0</v>
      </c>
      <c r="AI5" s="139"/>
      <c r="AJ5" s="320">
        <f>INDEX(t_B2n6_Fixed[Offset],MATCH($A$14,t_B2n6[x],0),1)</f>
        <v>-23</v>
      </c>
      <c r="AK5" s="314">
        <v>0</v>
      </c>
      <c r="AL5" s="314">
        <v>9</v>
      </c>
      <c r="AM5" s="238" t="s">
        <v>122</v>
      </c>
      <c r="AN5" s="16"/>
      <c r="AP5" s="139"/>
      <c r="AQ5" s="139">
        <f>INDEX(t_B2n6_Fixed[Offset],MATCH($A$6,t_B2n6[x],0),1)</f>
        <v>-31</v>
      </c>
      <c r="AR5" s="139">
        <v>0</v>
      </c>
      <c r="AS5" s="139">
        <v>1</v>
      </c>
      <c r="AT5" s="255" t="s">
        <v>114</v>
      </c>
      <c r="AW5" s="139"/>
      <c r="AX5" s="139">
        <f>INDEX(t_B2n6_Fixed[Offset],MATCH($A$8,t_B2n6[x],0),1)</f>
        <v>-29</v>
      </c>
      <c r="AY5" s="139">
        <v>0</v>
      </c>
      <c r="AZ5" s="139">
        <v>3</v>
      </c>
      <c r="BA5" s="291" t="s">
        <v>116</v>
      </c>
      <c r="BD5" s="139"/>
      <c r="BE5" s="139">
        <f>INDEX(t_B2n6_Fixed[Offset],MATCH($A$10,t_B2n6[x],0),1)</f>
        <v>-27</v>
      </c>
      <c r="BF5" s="139">
        <v>0</v>
      </c>
      <c r="BG5" s="139">
        <v>5</v>
      </c>
      <c r="BH5" s="276" t="s">
        <v>118</v>
      </c>
      <c r="BK5" s="139"/>
      <c r="BL5" s="139">
        <f>INDEX(t_B2n6_Fixed[Offset],MATCH($A$16,t_B2n6[x],0),1)</f>
        <v>-21</v>
      </c>
      <c r="BM5" s="139">
        <v>0</v>
      </c>
      <c r="BN5" s="139">
        <v>11</v>
      </c>
      <c r="BO5" s="289" t="s">
        <v>124</v>
      </c>
      <c r="BR5" s="139"/>
      <c r="BS5" s="320">
        <f>INDEX(t_B2n6_Fixed[Offset],MATCH($A$26,t_B2n6[x],0),1)</f>
        <v>-11</v>
      </c>
      <c r="BT5" s="314">
        <v>21</v>
      </c>
      <c r="BU5" s="337" t="s">
        <v>134</v>
      </c>
      <c r="BV5" s="27" t="s">
        <v>0</v>
      </c>
      <c r="BX5" s="139"/>
      <c r="BY5" s="320">
        <f>INDEX(t_B2n6_Fixed[Offset],MATCH($A$12,t_B2n6[x],0),1)</f>
        <v>-25</v>
      </c>
      <c r="BZ5" s="314">
        <v>7</v>
      </c>
      <c r="CA5" s="339" t="s">
        <v>120</v>
      </c>
      <c r="CB5" s="16"/>
    </row>
    <row r="6" spans="1:80" ht="15.75" thickBot="1" x14ac:dyDescent="0.3">
      <c r="A6" s="139">
        <v>1</v>
      </c>
      <c r="B6" s="19">
        <f>ROUNDUP(t_B2n6_Fixed[[#This Row],[Row]]-$B$3,0)</f>
        <v>-31</v>
      </c>
      <c r="C6" s="18">
        <f>t_B2n6[[#This Row],[x]]-D5</f>
        <v>1</v>
      </c>
      <c r="D6" s="14">
        <v>1</v>
      </c>
      <c r="E6" s="42">
        <f>MOD(INT(t_B2n6[[#This Row],[x]]/$B$1^INT(RIGHT(t_B2n6[[#Headers],[b5]],1))),$B$1)</f>
        <v>0</v>
      </c>
      <c r="F6" s="42">
        <f>MOD(INT(t_B2n6[[#This Row],[x]]/$B$1^INT(RIGHT(t_B2n6[[#Headers],[b4]],1))),$B$1)</f>
        <v>0</v>
      </c>
      <c r="G6" s="43">
        <f>MOD(INT(t_B2n6[[#This Row],[x]]/$B$1^INT(RIGHT(t_B2n6[[#Headers],[b3]],1))),$B$1)</f>
        <v>0</v>
      </c>
      <c r="H6" s="42">
        <f>MOD(INT(t_B2n6[[#This Row],[x]]/$B$1^INT(RIGHT(t_B2n6[[#Headers],[b2]],1))),$B$1)</f>
        <v>0</v>
      </c>
      <c r="I6" s="42">
        <f>MOD(INT(t_B2n6[[#This Row],[x]]/$B$1^INT(RIGHT(t_B2n6[[#Headers],[b1]],1))),$B$1)</f>
        <v>0</v>
      </c>
      <c r="J6" s="43">
        <f>MOD(INT(t_B2n6[[#This Row],[x]]/$B$1^INT(RIGHT(t_B2n6[[#Headers],[b0]],1))),$B$1)</f>
        <v>1</v>
      </c>
      <c r="L6" s="16"/>
      <c r="M6" s="34" t="s">
        <v>21</v>
      </c>
      <c r="N6" s="35" t="s">
        <v>5</v>
      </c>
      <c r="AC6" s="139">
        <f>t_B2n6_AB1[[#This Row],[Offset]]-AD5</f>
        <v>64</v>
      </c>
      <c r="AD6" s="325">
        <f>INDEX(t_B2n6_Fixed[Offset],MATCH($A$68,t_B2n6[x],0),1)</f>
        <v>32</v>
      </c>
      <c r="AE6" s="317">
        <v>63</v>
      </c>
      <c r="AF6" s="333" t="s">
        <v>176</v>
      </c>
      <c r="AI6" s="139">
        <f>t_B2n6_AB2[[#This Row],[Offset]]-AJ5</f>
        <v>9</v>
      </c>
      <c r="AJ6" s="334">
        <f>INDEX(t_B2n6_Fixed[Offset],MATCH($A$23,t_B2n6[x],0),1)</f>
        <v>-14</v>
      </c>
      <c r="AK6" s="315">
        <v>1</v>
      </c>
      <c r="AL6" s="315">
        <v>18</v>
      </c>
      <c r="AM6" s="239" t="s">
        <v>131</v>
      </c>
      <c r="AN6" s="16"/>
      <c r="AP6" s="139">
        <f>t_B2n6_AB3[[#This Row],[Offset]]-AQ5</f>
        <v>1</v>
      </c>
      <c r="AQ6" s="139">
        <f>INDEX(t_B2n6_Fixed[Offset],MATCH($A$7,t_B2n6[x],0),1)</f>
        <v>-30</v>
      </c>
      <c r="AR6" s="139">
        <v>1</v>
      </c>
      <c r="AS6" s="139">
        <v>2</v>
      </c>
      <c r="AT6" s="255" t="s">
        <v>115</v>
      </c>
      <c r="AW6" s="139">
        <f>t_B2n6_AB4[[#This Row],[Offset]]-AX5</f>
        <v>3</v>
      </c>
      <c r="AX6" s="139">
        <f>INDEX(t_B2n6_Fixed[Offset],MATCH($A$11,t_B2n6[x],0),1)</f>
        <v>-26</v>
      </c>
      <c r="AY6" s="139">
        <v>1</v>
      </c>
      <c r="AZ6" s="139">
        <v>6</v>
      </c>
      <c r="BA6" s="291" t="s">
        <v>119</v>
      </c>
      <c r="BD6" s="139">
        <f>t_B2n6_AB5[[#This Row],[Offset]]-BE5</f>
        <v>5</v>
      </c>
      <c r="BE6" s="139">
        <f>INDEX(t_B2n6_Fixed[Offset],MATCH($A$15,t_B2n6[x],0),1)</f>
        <v>-22</v>
      </c>
      <c r="BF6" s="139">
        <v>1</v>
      </c>
      <c r="BG6" s="139">
        <v>10</v>
      </c>
      <c r="BH6" s="276" t="s">
        <v>123</v>
      </c>
      <c r="BK6" s="139">
        <f>t_B2n6_AB6[[#This Row],[Offset]]-BL5</f>
        <v>2</v>
      </c>
      <c r="BL6" s="139">
        <f>INDEX(t_B2n6_Fixed[Offset],MATCH($A$18,t_B2n6[x],0),1)</f>
        <v>-19</v>
      </c>
      <c r="BM6" s="139">
        <v>6</v>
      </c>
      <c r="BN6" s="139">
        <v>13</v>
      </c>
      <c r="BO6" s="294" t="s">
        <v>126</v>
      </c>
      <c r="BR6" s="139">
        <f>t_B2n6_S1[[#This Row],[Offset]]-BS5</f>
        <v>22</v>
      </c>
      <c r="BS6" s="325">
        <f>INDEX(t_B2n6_Fixed[Offset],MATCH($A$47,t_B2n6[x],0),1)</f>
        <v>11</v>
      </c>
      <c r="BT6" s="317">
        <v>42</v>
      </c>
      <c r="BU6" s="338" t="s">
        <v>155</v>
      </c>
      <c r="BX6" s="139">
        <f>t_B2n6_S2[[#This Row],[Offset]]-BY5</f>
        <v>7</v>
      </c>
      <c r="BY6" s="334">
        <f>INDEX(t_B2n6_Fixed[Offset],MATCH($A$19,t_B2n6[x],0),1)</f>
        <v>-18</v>
      </c>
      <c r="BZ6" s="315">
        <v>14</v>
      </c>
      <c r="CA6" s="340" t="s">
        <v>127</v>
      </c>
      <c r="CB6" s="16"/>
    </row>
    <row r="7" spans="1:80" ht="15.75" thickBot="1" x14ac:dyDescent="0.3">
      <c r="A7" s="139">
        <v>2</v>
      </c>
      <c r="B7" s="19">
        <f>ROUNDUP(t_B2n6_Fixed[[#This Row],[Row]]-$B$3,0)</f>
        <v>-30</v>
      </c>
      <c r="C7" s="18">
        <f>t_B2n6[[#This Row],[x]]-D6</f>
        <v>1</v>
      </c>
      <c r="D7" s="14">
        <v>2</v>
      </c>
      <c r="E7" s="42">
        <f>MOD(INT(t_B2n6[[#This Row],[x]]/$B$1^INT(RIGHT(t_B2n6[[#Headers],[b5]],1))),$B$1)</f>
        <v>0</v>
      </c>
      <c r="F7" s="42">
        <f>MOD(INT(t_B2n6[[#This Row],[x]]/$B$1^INT(RIGHT(t_B2n6[[#Headers],[b4]],1))),$B$1)</f>
        <v>0</v>
      </c>
      <c r="G7" s="43">
        <f>MOD(INT(t_B2n6[[#This Row],[x]]/$B$1^INT(RIGHT(t_B2n6[[#Headers],[b3]],1))),$B$1)</f>
        <v>0</v>
      </c>
      <c r="H7" s="42">
        <f>MOD(INT(t_B2n6[[#This Row],[x]]/$B$1^INT(RIGHT(t_B2n6[[#Headers],[b2]],1))),$B$1)</f>
        <v>0</v>
      </c>
      <c r="I7" s="42">
        <f>MOD(INT(t_B2n6[[#This Row],[x]]/$B$1^INT(RIGHT(t_B2n6[[#Headers],[b1]],1))),$B$1)</f>
        <v>1</v>
      </c>
      <c r="J7" s="43">
        <f>MOD(INT(t_B2n6[[#This Row],[x]]/$B$1^INT(RIGHT(t_B2n6[[#Headers],[b0]],1))),$B$1)</f>
        <v>0</v>
      </c>
      <c r="L7" s="16"/>
      <c r="M7" s="32" t="s">
        <v>13</v>
      </c>
      <c r="N7" s="33">
        <v>1</v>
      </c>
      <c r="P7" s="156" t="s">
        <v>33</v>
      </c>
      <c r="Q7" s="169" t="s">
        <v>34</v>
      </c>
      <c r="AI7" s="139">
        <f>t_B2n6_AB2[[#This Row],[Offset]]-AJ6</f>
        <v>9</v>
      </c>
      <c r="AJ7" s="334">
        <f>INDEX(t_B2n6_Fixed[Offset],MATCH($A$32,t_B2n6[x],0),1)</f>
        <v>-5</v>
      </c>
      <c r="AK7" s="315">
        <v>3</v>
      </c>
      <c r="AL7" s="315">
        <v>27</v>
      </c>
      <c r="AM7" s="336" t="s">
        <v>140</v>
      </c>
      <c r="AN7" s="25" t="s">
        <v>0</v>
      </c>
      <c r="AP7" s="139">
        <f>t_B2n6_AB3[[#This Row],[Offset]]-AQ6</f>
        <v>2</v>
      </c>
      <c r="AQ7" s="139">
        <f>INDEX(t_B2n6_Fixed[Offset],MATCH($A$9,t_B2n6[x],0),1)</f>
        <v>-28</v>
      </c>
      <c r="AR7" s="139">
        <v>2</v>
      </c>
      <c r="AS7" s="139">
        <v>4</v>
      </c>
      <c r="AT7" s="255" t="s">
        <v>117</v>
      </c>
      <c r="AW7" s="139">
        <f>t_B2n6_AB4[[#This Row],[Offset]]-AX6</f>
        <v>6</v>
      </c>
      <c r="AX7" s="139">
        <f>INDEX(t_B2n6_Fixed[Offset],MATCH($A$17,t_B2n6[x],0),1)</f>
        <v>-20</v>
      </c>
      <c r="AY7" s="139">
        <v>2</v>
      </c>
      <c r="AZ7" s="139">
        <v>12</v>
      </c>
      <c r="BA7" s="291" t="s">
        <v>125</v>
      </c>
      <c r="BD7" s="139">
        <f>t_B2n6_AB5[[#This Row],[Offset]]-BE6</f>
        <v>7</v>
      </c>
      <c r="BE7" s="139">
        <f>INDEX(t_B2n6_Fixed[Offset],MATCH($A$22,t_B2n6[x],0),1)</f>
        <v>-15</v>
      </c>
      <c r="BF7" s="139">
        <v>2</v>
      </c>
      <c r="BG7" s="139">
        <v>17</v>
      </c>
      <c r="BH7" s="276" t="s">
        <v>130</v>
      </c>
      <c r="BK7" s="139">
        <f>t_B2n6_AB6[[#This Row],[Offset]]-BL6</f>
        <v>6</v>
      </c>
      <c r="BL7" s="139">
        <f>INDEX(t_B2n6_Fixed[Offset],MATCH($A$24,t_B2n6[x],0),1)</f>
        <v>-13</v>
      </c>
      <c r="BM7" s="139">
        <v>7</v>
      </c>
      <c r="BN7" s="139">
        <v>19</v>
      </c>
      <c r="BO7" s="294" t="s">
        <v>132</v>
      </c>
      <c r="BX7" s="139">
        <f>t_B2n6_S2[[#This Row],[Offset]]-BY6</f>
        <v>14</v>
      </c>
      <c r="BY7" s="335">
        <f>INDEX(t_B2n6_Fixed[Offset],MATCH($A$33,t_B2n6[x],0),1)</f>
        <v>-4</v>
      </c>
      <c r="BZ7" s="316">
        <v>28</v>
      </c>
      <c r="CA7" s="340" t="s">
        <v>141</v>
      </c>
      <c r="CB7" s="25" t="s">
        <v>0</v>
      </c>
    </row>
    <row r="8" spans="1:80" ht="14.85" customHeight="1" x14ac:dyDescent="0.25">
      <c r="A8" s="139">
        <v>3</v>
      </c>
      <c r="B8" s="19">
        <f>ROUNDUP(t_B2n6_Fixed[[#This Row],[Row]]-$B$3,0)</f>
        <v>-29</v>
      </c>
      <c r="C8" s="18">
        <f>t_B2n6[[#This Row],[x]]-D7</f>
        <v>1</v>
      </c>
      <c r="D8" s="14">
        <v>3</v>
      </c>
      <c r="E8" s="44">
        <f>MOD(INT(t_B2n6[[#This Row],[x]]/$B$1^INT(RIGHT(t_B2n6[[#Headers],[b5]],1))),$B$1)</f>
        <v>0</v>
      </c>
      <c r="F8" s="44">
        <f>MOD(INT(t_B2n6[[#This Row],[x]]/$B$1^INT(RIGHT(t_B2n6[[#Headers],[b4]],1))),$B$1)</f>
        <v>0</v>
      </c>
      <c r="G8" s="45">
        <f>MOD(INT(t_B2n6[[#This Row],[x]]/$B$1^INT(RIGHT(t_B2n6[[#Headers],[b3]],1))),$B$1)</f>
        <v>0</v>
      </c>
      <c r="H8" s="44">
        <f>MOD(INT(t_B2n6[[#This Row],[x]]/$B$1^INT(RIGHT(t_B2n6[[#Headers],[b2]],1))),$B$1)</f>
        <v>0</v>
      </c>
      <c r="I8" s="44">
        <f>MOD(INT(t_B2n6[[#This Row],[x]]/$B$1^INT(RIGHT(t_B2n6[[#Headers],[b1]],1))),$B$1)</f>
        <v>1</v>
      </c>
      <c r="J8" s="45">
        <f>MOD(INT(t_B2n6[[#This Row],[x]]/$B$1^INT(RIGHT(t_B2n6[[#Headers],[b0]],1))),$B$1)</f>
        <v>1</v>
      </c>
      <c r="L8" s="16"/>
      <c r="M8" s="30" t="s">
        <v>17</v>
      </c>
      <c r="N8" s="31">
        <v>1</v>
      </c>
      <c r="P8" s="94" t="s">
        <v>36</v>
      </c>
      <c r="Q8" s="161" t="s">
        <v>37</v>
      </c>
      <c r="R8" s="171"/>
      <c r="S8" s="171"/>
      <c r="T8" s="171"/>
      <c r="U8" s="171"/>
      <c r="V8" s="171"/>
      <c r="W8" s="171"/>
      <c r="X8" s="171"/>
      <c r="Y8" s="171"/>
      <c r="Z8" s="171"/>
      <c r="AA8" s="171"/>
      <c r="AI8" s="139">
        <f>t_B2n6_AB2[[#This Row],[Offset]]-AJ7</f>
        <v>10</v>
      </c>
      <c r="AJ8" s="345">
        <f>INDEX(t_B2n6_Fixed[Offset],MATCH($A$41,t_B2n6[x],0),1)</f>
        <v>5</v>
      </c>
      <c r="AK8" s="318">
        <v>2</v>
      </c>
      <c r="AL8" s="318">
        <v>36</v>
      </c>
      <c r="AM8" s="358" t="s">
        <v>149</v>
      </c>
      <c r="AN8" s="16"/>
      <c r="AP8" s="139">
        <f>t_B2n6_AB3[[#This Row],[Offset]]-AQ7</f>
        <v>4</v>
      </c>
      <c r="AQ8" s="139">
        <f>INDEX(t_B2n6_Fixed[Offset],MATCH($A$13,t_B2n6[x],0),1)</f>
        <v>-24</v>
      </c>
      <c r="AR8" s="139">
        <v>3</v>
      </c>
      <c r="AS8" s="139">
        <v>8</v>
      </c>
      <c r="AT8" s="255" t="s">
        <v>121</v>
      </c>
      <c r="AW8" s="139">
        <f>t_B2n6_AB4[[#This Row],[Offset]]-AX7</f>
        <v>3</v>
      </c>
      <c r="AX8" s="139">
        <f>INDEX(t_B2n6_Fixed[Offset],MATCH($A$20,t_B2n6[x],0),1)</f>
        <v>-17</v>
      </c>
      <c r="AY8" s="139">
        <v>6</v>
      </c>
      <c r="AZ8" s="139">
        <v>15</v>
      </c>
      <c r="BA8" s="292" t="s">
        <v>128</v>
      </c>
      <c r="BD8" s="139">
        <f>t_B2n6_AB5[[#This Row],[Offset]]-BE7</f>
        <v>3</v>
      </c>
      <c r="BE8" s="139">
        <f>INDEX(t_B2n6_Fixed[Offset],MATCH($A$25,t_B2n6[x],0),1)</f>
        <v>-12</v>
      </c>
      <c r="BF8" s="139">
        <v>3</v>
      </c>
      <c r="BG8" s="139">
        <v>20</v>
      </c>
      <c r="BH8" s="276" t="s">
        <v>133</v>
      </c>
      <c r="BK8" s="139">
        <f>t_B2n6_AB6[[#This Row],[Offset]]-BL7</f>
        <v>3</v>
      </c>
      <c r="BL8" s="139">
        <f>INDEX(t_B2n6_Fixed[Offset],MATCH($A$27,t_B2n6[x],0),1)</f>
        <v>-10</v>
      </c>
      <c r="BM8" s="139">
        <v>1</v>
      </c>
      <c r="BN8" s="139">
        <v>22</v>
      </c>
      <c r="BO8" s="289" t="s">
        <v>135</v>
      </c>
      <c r="BX8" s="139">
        <f>t_B2n6_S2[[#This Row],[Offset]]-BY7</f>
        <v>8</v>
      </c>
      <c r="BY8" s="325">
        <f>INDEX(t_B2n6_Fixed[Offset],MATCH($A$40,t_B2n6[x],0),1)</f>
        <v>4</v>
      </c>
      <c r="BZ8" s="317">
        <v>35</v>
      </c>
      <c r="CA8" s="341" t="s">
        <v>148</v>
      </c>
      <c r="CB8" s="16"/>
    </row>
    <row r="9" spans="1:80" x14ac:dyDescent="0.25">
      <c r="A9" s="139">
        <v>4</v>
      </c>
      <c r="B9" s="19">
        <f>ROUNDUP(t_B2n6_Fixed[[#This Row],[Row]]-$B$3,0)</f>
        <v>-28</v>
      </c>
      <c r="C9" s="18">
        <f>t_B2n6[[#This Row],[x]]-D8</f>
        <v>1</v>
      </c>
      <c r="D9" s="14">
        <v>4</v>
      </c>
      <c r="E9" s="42">
        <f>MOD(INT(t_B2n6[[#This Row],[x]]/$B$1^INT(RIGHT(t_B2n6[[#Headers],[b5]],1))),$B$1)</f>
        <v>0</v>
      </c>
      <c r="F9" s="42">
        <f>MOD(INT(t_B2n6[[#This Row],[x]]/$B$1^INT(RIGHT(t_B2n6[[#Headers],[b4]],1))),$B$1)</f>
        <v>0</v>
      </c>
      <c r="G9" s="43">
        <f>MOD(INT(t_B2n6[[#This Row],[x]]/$B$1^INT(RIGHT(t_B2n6[[#Headers],[b3]],1))),$B$1)</f>
        <v>0</v>
      </c>
      <c r="H9" s="42">
        <f>MOD(INT(t_B2n6[[#This Row],[x]]/$B$1^INT(RIGHT(t_B2n6[[#Headers],[b2]],1))),$B$1)</f>
        <v>1</v>
      </c>
      <c r="I9" s="42">
        <f>MOD(INT(t_B2n6[[#This Row],[x]]/$B$1^INT(RIGHT(t_B2n6[[#Headers],[b1]],1))),$B$1)</f>
        <v>0</v>
      </c>
      <c r="J9" s="43">
        <f>MOD(INT(t_B2n6[[#This Row],[x]]/$B$1^INT(RIGHT(t_B2n6[[#Headers],[b0]],1))),$B$1)</f>
        <v>0</v>
      </c>
      <c r="L9" s="16"/>
      <c r="M9" s="30" t="s">
        <v>19</v>
      </c>
      <c r="N9" s="31">
        <v>4</v>
      </c>
      <c r="P9" s="90" t="s">
        <v>39</v>
      </c>
      <c r="Q9" s="155" t="s">
        <v>40</v>
      </c>
      <c r="R9" s="171"/>
      <c r="S9" s="163" t="s">
        <v>41</v>
      </c>
      <c r="T9" s="158" t="s">
        <v>42</v>
      </c>
      <c r="U9" s="171"/>
      <c r="V9" s="92" t="s">
        <v>43</v>
      </c>
      <c r="W9" s="188" t="s">
        <v>44</v>
      </c>
      <c r="X9" s="171"/>
      <c r="Y9" s="189" t="s">
        <v>45</v>
      </c>
      <c r="Z9" s="160" t="s">
        <v>46</v>
      </c>
      <c r="AA9" s="171"/>
      <c r="AI9" s="139">
        <f>t_B2n6_AB2[[#This Row],[Offset]]-AJ8</f>
        <v>9</v>
      </c>
      <c r="AJ9" s="335">
        <f>INDEX(t_B2n6_Fixed[Offset],MATCH($A$50,t_B2n6[x],0),1)</f>
        <v>14</v>
      </c>
      <c r="AK9" s="316">
        <v>4</v>
      </c>
      <c r="AL9" s="316">
        <v>45</v>
      </c>
      <c r="AM9" s="336" t="s">
        <v>158</v>
      </c>
      <c r="AN9" s="16"/>
      <c r="AP9" s="139">
        <f>t_B2n6_AB3[[#This Row],[Offset]]-AQ8</f>
        <v>8</v>
      </c>
      <c r="AQ9" s="139">
        <f>INDEX(t_B2n6_Fixed[Offset],MATCH($A$21,t_B2n6[x],0),1)</f>
        <v>-16</v>
      </c>
      <c r="AR9" s="139">
        <v>4</v>
      </c>
      <c r="AS9" s="139">
        <v>16</v>
      </c>
      <c r="AT9" s="255" t="s">
        <v>129</v>
      </c>
      <c r="AW9" s="139">
        <f>t_B2n6_AB4[[#This Row],[Offset]]-AX8</f>
        <v>9</v>
      </c>
      <c r="AX9" s="139">
        <f>INDEX(t_B2n6_Fixed[Offset],MATCH($A$29,t_B2n6[x],0),1)</f>
        <v>-8</v>
      </c>
      <c r="AY9" s="139">
        <v>3</v>
      </c>
      <c r="AZ9" s="139">
        <v>24</v>
      </c>
      <c r="BA9" s="291" t="s">
        <v>137</v>
      </c>
      <c r="BD9" s="139">
        <f>t_B2n6_AB5[[#This Row],[Offset]]-BE8</f>
        <v>3</v>
      </c>
      <c r="BE9" s="139">
        <f>INDEX(t_B2n6_Fixed[Offset],MATCH($A$28,t_B2n6[x],0),1)</f>
        <v>-9</v>
      </c>
      <c r="BF9" s="139">
        <v>6</v>
      </c>
      <c r="BG9" s="139">
        <v>23</v>
      </c>
      <c r="BH9" s="293" t="s">
        <v>136</v>
      </c>
      <c r="BK9" s="139">
        <f>t_B2n6_AB6[[#This Row],[Offset]]-BL8</f>
        <v>3</v>
      </c>
      <c r="BL9" s="139">
        <f>INDEX(t_B2n6_Fixed[Offset],MATCH($A$30,t_B2n6[x],0),1)</f>
        <v>-7</v>
      </c>
      <c r="BM9" s="139">
        <v>2</v>
      </c>
      <c r="BN9" s="139">
        <v>25</v>
      </c>
      <c r="BO9" s="289" t="s">
        <v>138</v>
      </c>
      <c r="BX9" s="139">
        <f>t_B2n6_S2[[#This Row],[Offset]]-BY8</f>
        <v>14</v>
      </c>
      <c r="BY9" s="335">
        <f>INDEX(t_B2n6_Fixed[Offset],MATCH($A$54,t_B2n6[x],0),1)</f>
        <v>18</v>
      </c>
      <c r="BZ9" s="316">
        <v>49</v>
      </c>
      <c r="CA9" s="340" t="s">
        <v>162</v>
      </c>
      <c r="CB9" s="16"/>
    </row>
    <row r="10" spans="1:80" ht="15.75" thickBot="1" x14ac:dyDescent="0.3">
      <c r="A10" s="139">
        <v>5</v>
      </c>
      <c r="B10" s="19">
        <f>ROUNDUP(t_B2n6_Fixed[[#This Row],[Row]]-$B$3,0)</f>
        <v>-27</v>
      </c>
      <c r="C10" s="18">
        <f>t_B2n6[[#This Row],[x]]-D9</f>
        <v>1</v>
      </c>
      <c r="D10" s="14">
        <v>5</v>
      </c>
      <c r="E10" s="175">
        <f>MOD(INT(t_B2n6[[#This Row],[x]]/$B$1^INT(RIGHT(t_B2n6[[#Headers],[b5]],1))),$B$1)</f>
        <v>0</v>
      </c>
      <c r="F10" s="175">
        <f>MOD(INT(t_B2n6[[#This Row],[x]]/$B$1^INT(RIGHT(t_B2n6[[#Headers],[b4]],1))),$B$1)</f>
        <v>0</v>
      </c>
      <c r="G10" s="167">
        <f>MOD(INT(t_B2n6[[#This Row],[x]]/$B$1^INT(RIGHT(t_B2n6[[#Headers],[b3]],1))),$B$1)</f>
        <v>0</v>
      </c>
      <c r="H10" s="175">
        <f>MOD(INT(t_B2n6[[#This Row],[x]]/$B$1^INT(RIGHT(t_B2n6[[#Headers],[b2]],1))),$B$1)</f>
        <v>1</v>
      </c>
      <c r="I10" s="175">
        <f>MOD(INT(t_B2n6[[#This Row],[x]]/$B$1^INT(RIGHT(t_B2n6[[#Headers],[b1]],1))),$B$1)</f>
        <v>0</v>
      </c>
      <c r="J10" s="167">
        <f>MOD(INT(t_B2n6[[#This Row],[x]]/$B$1^INT(RIGHT(t_B2n6[[#Headers],[b0]],1))),$B$1)</f>
        <v>1</v>
      </c>
      <c r="L10" s="16"/>
      <c r="M10" s="30" t="s">
        <v>23</v>
      </c>
      <c r="N10" s="31">
        <v>1</v>
      </c>
      <c r="P10" s="162" t="s">
        <v>35</v>
      </c>
      <c r="Q10" s="171"/>
      <c r="R10" s="171"/>
      <c r="S10" s="171"/>
      <c r="T10" s="171"/>
      <c r="U10" s="171"/>
      <c r="V10" s="171"/>
      <c r="W10" s="171"/>
      <c r="X10" s="171"/>
      <c r="Y10" s="171"/>
      <c r="Z10" s="171"/>
      <c r="AA10" s="171"/>
      <c r="AI10" s="139">
        <f>t_B2n6_AB2[[#This Row],[Offset]]-AJ9</f>
        <v>9</v>
      </c>
      <c r="AJ10" s="334">
        <f>INDEX(t_B2n6_Fixed[Offset],MATCH($A$59,t_B2n6[x],0),1)</f>
        <v>23</v>
      </c>
      <c r="AK10" s="315">
        <v>5</v>
      </c>
      <c r="AL10" s="315">
        <v>54</v>
      </c>
      <c r="AM10" s="336" t="s">
        <v>167</v>
      </c>
      <c r="AN10" s="16"/>
      <c r="AP10" s="139">
        <f>t_B2n6_AB3[[#This Row],[Offset]]-AQ9</f>
        <v>15</v>
      </c>
      <c r="AQ10" s="6">
        <f>INDEX(t_B2n6_Fixed[Offset],MATCH($A$36,t_B2n6[x],0),1)</f>
        <v>-1</v>
      </c>
      <c r="AR10" s="6">
        <v>6</v>
      </c>
      <c r="AS10" s="6">
        <v>31</v>
      </c>
      <c r="AT10" s="359" t="s">
        <v>144</v>
      </c>
      <c r="AU10" s="25" t="s">
        <v>0</v>
      </c>
      <c r="AW10" s="139">
        <f>t_B2n6_AB4[[#This Row],[Offset]]-AX9</f>
        <v>6</v>
      </c>
      <c r="AX10" s="6">
        <f>INDEX(t_B2n6_Fixed[Offset],MATCH($A$35,t_B2n6[x],0),1)</f>
        <v>-2</v>
      </c>
      <c r="AY10" s="6">
        <v>7</v>
      </c>
      <c r="AZ10" s="6">
        <v>30</v>
      </c>
      <c r="BA10" s="360" t="s">
        <v>143</v>
      </c>
      <c r="BB10" s="25" t="s">
        <v>0</v>
      </c>
      <c r="BD10" s="139">
        <f>t_B2n6_AB5[[#This Row],[Offset]]-BE9</f>
        <v>6</v>
      </c>
      <c r="BE10" s="6">
        <f>INDEX(t_B2n6_Fixed[Offset],MATCH($A$34,t_B2n6[x],0),1)</f>
        <v>-3</v>
      </c>
      <c r="BF10" s="6">
        <v>7</v>
      </c>
      <c r="BG10" s="6">
        <v>29</v>
      </c>
      <c r="BH10" s="361" t="s">
        <v>142</v>
      </c>
      <c r="BI10" s="25" t="s">
        <v>0</v>
      </c>
      <c r="BK10" s="139">
        <f>t_B2n6_AB6[[#This Row],[Offset]]-BL9</f>
        <v>1</v>
      </c>
      <c r="BL10" s="6">
        <f>INDEX(t_B2n6_Fixed[Offset],MATCH($A$31,t_B2n6[x],0),1)</f>
        <v>-6</v>
      </c>
      <c r="BM10" s="6">
        <v>8</v>
      </c>
      <c r="BN10" s="6">
        <v>26</v>
      </c>
      <c r="BO10" s="378" t="s">
        <v>139</v>
      </c>
      <c r="BP10" s="25" t="s">
        <v>0</v>
      </c>
      <c r="BX10" s="139">
        <f>t_B2n6_S2[[#This Row],[Offset]]-BY9</f>
        <v>7</v>
      </c>
      <c r="BY10" s="334">
        <f>INDEX(t_B2n6_Fixed[Offset],MATCH($A$61,t_B2n6[x],0),1)</f>
        <v>25</v>
      </c>
      <c r="BZ10" s="315">
        <v>56</v>
      </c>
      <c r="CA10" s="340" t="s">
        <v>169</v>
      </c>
      <c r="CB10" s="16"/>
    </row>
    <row r="11" spans="1:80" ht="15.75" thickBot="1" x14ac:dyDescent="0.3">
      <c r="A11" s="139">
        <v>6</v>
      </c>
      <c r="B11" s="19">
        <f>ROUNDUP(t_B2n6_Fixed[[#This Row],[Row]]-$B$3,0)</f>
        <v>-26</v>
      </c>
      <c r="C11" s="18">
        <f>t_B2n6[[#This Row],[x]]-D10</f>
        <v>1</v>
      </c>
      <c r="D11" s="14">
        <v>6</v>
      </c>
      <c r="E11" s="44">
        <f>MOD(INT(t_B2n6[[#This Row],[x]]/$B$1^INT(RIGHT(t_B2n6[[#Headers],[b5]],1))),$B$1)</f>
        <v>0</v>
      </c>
      <c r="F11" s="44">
        <f>MOD(INT(t_B2n6[[#This Row],[x]]/$B$1^INT(RIGHT(t_B2n6[[#Headers],[b4]],1))),$B$1)</f>
        <v>0</v>
      </c>
      <c r="G11" s="45">
        <f>MOD(INT(t_B2n6[[#This Row],[x]]/$B$1^INT(RIGHT(t_B2n6[[#Headers],[b3]],1))),$B$1)</f>
        <v>0</v>
      </c>
      <c r="H11" s="44">
        <f>MOD(INT(t_B2n6[[#This Row],[x]]/$B$1^INT(RIGHT(t_B2n6[[#Headers],[b2]],1))),$B$1)</f>
        <v>1</v>
      </c>
      <c r="I11" s="44">
        <f>MOD(INT(t_B2n6[[#This Row],[x]]/$B$1^INT(RIGHT(t_B2n6[[#Headers],[b1]],1))),$B$1)</f>
        <v>1</v>
      </c>
      <c r="J11" s="45">
        <f>MOD(INT(t_B2n6[[#This Row],[x]]/$B$1^INT(RIGHT(t_B2n6[[#Headers],[b0]],1))),$B$1)</f>
        <v>0</v>
      </c>
      <c r="L11" s="16"/>
      <c r="M11" s="36" t="s">
        <v>24</v>
      </c>
      <c r="N11" s="37">
        <v>1</v>
      </c>
      <c r="P11" s="159" t="s">
        <v>38</v>
      </c>
      <c r="Q11" s="171"/>
      <c r="R11" s="171"/>
      <c r="S11" s="171"/>
      <c r="T11" s="171"/>
      <c r="U11" s="171"/>
      <c r="V11" s="171"/>
      <c r="W11" s="171"/>
      <c r="X11" s="171"/>
      <c r="Y11" s="171"/>
      <c r="Z11" s="171"/>
      <c r="AA11" s="171"/>
      <c r="AN11" s="16"/>
      <c r="AP11" s="139">
        <f>t_B2n6_AB3[[#This Row],[Offset]]-AQ10</f>
        <v>2</v>
      </c>
      <c r="AQ11" s="139">
        <f>INDEX(t_B2n6_Fixed[Offset],MATCH($A$37,t_B2n6[x],0),1)</f>
        <v>1</v>
      </c>
      <c r="AR11" s="139">
        <v>5</v>
      </c>
      <c r="AS11" s="139">
        <v>32</v>
      </c>
      <c r="AT11" s="255" t="s">
        <v>145</v>
      </c>
      <c r="AW11" s="139">
        <f>t_B2n6_AB4[[#This Row],[Offset]]-AX10</f>
        <v>4</v>
      </c>
      <c r="AX11" s="139">
        <f>INDEX(t_B2n6_Fixed[Offset],MATCH($A$38,t_B2n6[x],0),1)</f>
        <v>2</v>
      </c>
      <c r="AY11" s="139">
        <v>4</v>
      </c>
      <c r="AZ11" s="139">
        <v>33</v>
      </c>
      <c r="BA11" s="291" t="s">
        <v>146</v>
      </c>
      <c r="BD11" s="139">
        <f>t_B2n6_AB5[[#This Row],[Offset]]-BE10</f>
        <v>6</v>
      </c>
      <c r="BE11" s="139">
        <f>INDEX(t_B2n6_Fixed[Offset],MATCH($A$39,t_B2n6[x],0),1)</f>
        <v>3</v>
      </c>
      <c r="BF11" s="139">
        <v>4</v>
      </c>
      <c r="BG11" s="139">
        <v>34</v>
      </c>
      <c r="BH11" s="276" t="s">
        <v>147</v>
      </c>
      <c r="BK11" s="139">
        <f>t_B2n6_AB6[[#This Row],[Offset]]-BL10</f>
        <v>12</v>
      </c>
      <c r="BL11" s="139">
        <f>INDEX(t_B2n6_Fixed[Offset],MATCH($A$42,t_B2n6[x],0),1)</f>
        <v>6</v>
      </c>
      <c r="BM11" s="139">
        <v>3</v>
      </c>
      <c r="BN11" s="139">
        <v>37</v>
      </c>
      <c r="BO11" s="289" t="s">
        <v>150</v>
      </c>
      <c r="CB11" s="16"/>
    </row>
    <row r="12" spans="1:80" x14ac:dyDescent="0.25">
      <c r="A12" s="139">
        <v>7</v>
      </c>
      <c r="B12" s="19">
        <f>ROUNDUP(t_B2n6_Fixed[[#This Row],[Row]]-$B$3,0)</f>
        <v>-25</v>
      </c>
      <c r="C12" s="18">
        <f>t_B2n6[[#This Row],[x]]-D11</f>
        <v>1</v>
      </c>
      <c r="D12" s="14">
        <v>7</v>
      </c>
      <c r="E12" s="176">
        <f>MOD(INT(t_B2n6[[#This Row],[x]]/$B$1^INT(RIGHT(t_B2n6[[#Headers],[b5]],1))),$B$1)</f>
        <v>0</v>
      </c>
      <c r="F12" s="176">
        <f>MOD(INT(t_B2n6[[#This Row],[x]]/$B$1^INT(RIGHT(t_B2n6[[#Headers],[b4]],1))),$B$1)</f>
        <v>0</v>
      </c>
      <c r="G12" s="177">
        <f>MOD(INT(t_B2n6[[#This Row],[x]]/$B$1^INT(RIGHT(t_B2n6[[#Headers],[b3]],1))),$B$1)</f>
        <v>0</v>
      </c>
      <c r="H12" s="176">
        <f>MOD(INT(t_B2n6[[#This Row],[x]]/$B$1^INT(RIGHT(t_B2n6[[#Headers],[b2]],1))),$B$1)</f>
        <v>1</v>
      </c>
      <c r="I12" s="176">
        <f>MOD(INT(t_B2n6[[#This Row],[x]]/$B$1^INT(RIGHT(t_B2n6[[#Headers],[b1]],1))),$B$1)</f>
        <v>1</v>
      </c>
      <c r="J12" s="177">
        <f>MOD(INT(t_B2n6[[#This Row],[x]]/$B$1^INT(RIGHT(t_B2n6[[#Headers],[b0]],1))),$B$1)</f>
        <v>1</v>
      </c>
      <c r="K12" s="16"/>
      <c r="L12" s="16"/>
      <c r="M12" s="113" t="s">
        <v>15</v>
      </c>
      <c r="N12" s="114">
        <f>SUM(N7:N11)</f>
        <v>8</v>
      </c>
      <c r="P12" s="171"/>
      <c r="Q12" s="171"/>
      <c r="R12" s="171"/>
      <c r="S12" s="171"/>
      <c r="T12" s="171"/>
      <c r="U12" s="171"/>
      <c r="V12" s="171"/>
      <c r="W12" s="171"/>
      <c r="X12" s="171"/>
      <c r="Y12" s="171"/>
      <c r="Z12" s="171"/>
      <c r="AA12" s="171"/>
      <c r="AN12" s="16"/>
      <c r="AP12" s="139">
        <f>t_B2n6_AB3[[#This Row],[Offset]]-AQ11</f>
        <v>15</v>
      </c>
      <c r="AQ12" s="139">
        <f>INDEX(t_B2n6_Fixed[Offset],MATCH($A$52,t_B2n6[x],0),1)</f>
        <v>16</v>
      </c>
      <c r="AR12" s="139">
        <v>7</v>
      </c>
      <c r="AS12" s="139">
        <v>47</v>
      </c>
      <c r="AT12" s="290" t="s">
        <v>160</v>
      </c>
      <c r="AW12" s="139">
        <f>t_B2n6_AB4[[#This Row],[Offset]]-AX11</f>
        <v>6</v>
      </c>
      <c r="AX12" s="139">
        <f>INDEX(t_B2n6_Fixed[Offset],MATCH($A$44,t_B2n6[x],0),1)</f>
        <v>8</v>
      </c>
      <c r="AY12" s="139">
        <v>8</v>
      </c>
      <c r="AZ12" s="139">
        <v>39</v>
      </c>
      <c r="BA12" s="292" t="s">
        <v>152</v>
      </c>
      <c r="BD12" s="139">
        <f>t_B2n6_AB5[[#This Row],[Offset]]-BE11</f>
        <v>6</v>
      </c>
      <c r="BE12" s="139">
        <f>INDEX(t_B2n6_Fixed[Offset],MATCH($A$45,t_B2n6[x],0),1)</f>
        <v>9</v>
      </c>
      <c r="BF12" s="139">
        <v>5</v>
      </c>
      <c r="BG12" s="139">
        <v>40</v>
      </c>
      <c r="BH12" s="276" t="s">
        <v>153</v>
      </c>
      <c r="BK12" s="139">
        <f>t_B2n6_AB6[[#This Row],[Offset]]-BL11</f>
        <v>1</v>
      </c>
      <c r="BL12" s="139">
        <f>INDEX(t_B2n6_Fixed[Offset],MATCH($A$43,t_B2n6[x],0),1)</f>
        <v>7</v>
      </c>
      <c r="BM12" s="139">
        <v>9</v>
      </c>
      <c r="BN12" s="139">
        <v>38</v>
      </c>
      <c r="BO12" s="294" t="s">
        <v>151</v>
      </c>
      <c r="CB12" s="16"/>
    </row>
    <row r="13" spans="1:80" ht="15.75" thickBot="1" x14ac:dyDescent="0.3">
      <c r="A13" s="139">
        <v>8</v>
      </c>
      <c r="B13" s="19">
        <f>ROUNDUP(t_B2n6_Fixed[[#This Row],[Row]]-$B$3,0)</f>
        <v>-24</v>
      </c>
      <c r="C13" s="18">
        <f>t_B2n6[[#This Row],[x]]-D12</f>
        <v>1</v>
      </c>
      <c r="D13" s="14">
        <v>8</v>
      </c>
      <c r="E13" s="42">
        <f>MOD(INT(t_B2n6[[#This Row],[x]]/$B$1^INT(RIGHT(t_B2n6[[#Headers],[b5]],1))),$B$1)</f>
        <v>0</v>
      </c>
      <c r="F13" s="42">
        <f>MOD(INT(t_B2n6[[#This Row],[x]]/$B$1^INT(RIGHT(t_B2n6[[#Headers],[b4]],1))),$B$1)</f>
        <v>0</v>
      </c>
      <c r="G13" s="43">
        <f>MOD(INT(t_B2n6[[#This Row],[x]]/$B$1^INT(RIGHT(t_B2n6[[#Headers],[b3]],1))),$B$1)</f>
        <v>1</v>
      </c>
      <c r="H13" s="42">
        <f>MOD(INT(t_B2n6[[#This Row],[x]]/$B$1^INT(RIGHT(t_B2n6[[#Headers],[b2]],1))),$B$1)</f>
        <v>0</v>
      </c>
      <c r="I13" s="42">
        <f>MOD(INT(t_B2n6[[#This Row],[x]]/$B$1^INT(RIGHT(t_B2n6[[#Headers],[b1]],1))),$B$1)</f>
        <v>0</v>
      </c>
      <c r="J13" s="43">
        <f>MOD(INT(t_B2n6[[#This Row],[x]]/$B$1^INT(RIGHT(t_B2n6[[#Headers],[b0]],1))),$B$1)</f>
        <v>0</v>
      </c>
      <c r="K13" s="16"/>
      <c r="L13" s="16"/>
      <c r="M13" s="115" t="s">
        <v>16</v>
      </c>
      <c r="N13" s="116">
        <v>14</v>
      </c>
      <c r="P13" s="171"/>
      <c r="Q13" s="171"/>
      <c r="R13" s="171"/>
      <c r="S13" s="171"/>
      <c r="T13" s="171"/>
      <c r="U13" s="171"/>
      <c r="V13" s="171"/>
      <c r="W13" s="171"/>
      <c r="X13" s="171"/>
      <c r="Y13" s="171"/>
      <c r="Z13" s="171"/>
      <c r="AA13" s="171"/>
      <c r="AN13" s="16"/>
      <c r="AP13" s="139">
        <f>t_B2n6_AB3[[#This Row],[Offset]]-AQ12</f>
        <v>8</v>
      </c>
      <c r="AQ13" s="139">
        <f>INDEX(t_B2n6_Fixed[Offset],MATCH($A$60,t_B2n6[x],0),1)</f>
        <v>24</v>
      </c>
      <c r="AR13" s="139">
        <v>8</v>
      </c>
      <c r="AS13" s="139">
        <v>55</v>
      </c>
      <c r="AT13" s="290" t="s">
        <v>168</v>
      </c>
      <c r="AW13" s="139">
        <f>t_B2n6_AB4[[#This Row],[Offset]]-AX12</f>
        <v>9</v>
      </c>
      <c r="AX13" s="139">
        <f>INDEX(t_B2n6_Fixed[Offset],MATCH($A$53,t_B2n6[x],0),1)</f>
        <v>17</v>
      </c>
      <c r="AY13" s="139">
        <v>5</v>
      </c>
      <c r="AZ13" s="139">
        <v>48</v>
      </c>
      <c r="BA13" s="291" t="s">
        <v>161</v>
      </c>
      <c r="BD13" s="139">
        <f>t_B2n6_AB5[[#This Row],[Offset]]-BE12</f>
        <v>3</v>
      </c>
      <c r="BE13" s="139">
        <f>INDEX(t_B2n6_Fixed[Offset],MATCH($A$48,t_B2n6[x],0),1)</f>
        <v>12</v>
      </c>
      <c r="BF13" s="139">
        <v>8</v>
      </c>
      <c r="BG13" s="139">
        <v>43</v>
      </c>
      <c r="BH13" s="293" t="s">
        <v>156</v>
      </c>
      <c r="BK13" s="139">
        <f>t_B2n6_AB6[[#This Row],[Offset]]-BL12</f>
        <v>3</v>
      </c>
      <c r="BL13" s="139">
        <f>INDEX(t_B2n6_Fixed[Offset],MATCH($A$46,t_B2n6[x],0),1)</f>
        <v>10</v>
      </c>
      <c r="BM13" s="139">
        <v>10</v>
      </c>
      <c r="BN13" s="139">
        <v>41</v>
      </c>
      <c r="BO13" s="294" t="s">
        <v>154</v>
      </c>
      <c r="CB13" s="16"/>
    </row>
    <row r="14" spans="1:80" x14ac:dyDescent="0.25">
      <c r="A14" s="139">
        <v>9</v>
      </c>
      <c r="B14" s="19">
        <f>ROUNDUP(t_B2n6_Fixed[[#This Row],[Row]]-$B$3,0)</f>
        <v>-23</v>
      </c>
      <c r="C14" s="18">
        <f>t_B2n6[[#This Row],[x]]-D13</f>
        <v>1</v>
      </c>
      <c r="D14" s="14">
        <v>9</v>
      </c>
      <c r="E14" s="50">
        <f>MOD(INT(t_B2n6[[#This Row],[x]]/$B$1^INT(RIGHT(t_B2n6[[#Headers],[b5]],1))),$B$1)</f>
        <v>0</v>
      </c>
      <c r="F14" s="50">
        <f>MOD(INT(t_B2n6[[#This Row],[x]]/$B$1^INT(RIGHT(t_B2n6[[#Headers],[b4]],1))),$B$1)</f>
        <v>0</v>
      </c>
      <c r="G14" s="51">
        <f>MOD(INT(t_B2n6[[#This Row],[x]]/$B$1^INT(RIGHT(t_B2n6[[#Headers],[b3]],1))),$B$1)</f>
        <v>1</v>
      </c>
      <c r="H14" s="50">
        <f>MOD(INT(t_B2n6[[#This Row],[x]]/$B$1^INT(RIGHT(t_B2n6[[#Headers],[b2]],1))),$B$1)</f>
        <v>0</v>
      </c>
      <c r="I14" s="50">
        <f>MOD(INT(t_B2n6[[#This Row],[x]]/$B$1^INT(RIGHT(t_B2n6[[#Headers],[b1]],1))),$B$1)</f>
        <v>0</v>
      </c>
      <c r="J14" s="51">
        <f>MOD(INT(t_B2n6[[#This Row],[x]]/$B$1^INT(RIGHT(t_B2n6[[#Headers],[b0]],1))),$B$1)</f>
        <v>1</v>
      </c>
      <c r="K14" s="16"/>
      <c r="L14" s="16"/>
      <c r="AN14" s="16"/>
      <c r="AP14" s="139">
        <f>t_B2n6_AB3[[#This Row],[Offset]]-AQ13</f>
        <v>4</v>
      </c>
      <c r="AQ14" s="139">
        <f>INDEX(t_B2n6_Fixed[Offset],MATCH($A$64,t_B2n6[x],0),1)</f>
        <v>28</v>
      </c>
      <c r="AR14" s="139">
        <v>9</v>
      </c>
      <c r="AS14" s="139">
        <v>59</v>
      </c>
      <c r="AT14" s="290" t="s">
        <v>172</v>
      </c>
      <c r="AW14" s="139">
        <f>t_B2n6_AB4[[#This Row],[Offset]]-AX13</f>
        <v>3</v>
      </c>
      <c r="AX14" s="139">
        <f>INDEX(t_B2n6_Fixed[Offset],MATCH($A$56,t_B2n6[x],0),1)</f>
        <v>20</v>
      </c>
      <c r="AY14" s="139">
        <v>9</v>
      </c>
      <c r="AZ14" s="139">
        <v>51</v>
      </c>
      <c r="BA14" s="292" t="s">
        <v>164</v>
      </c>
      <c r="BD14" s="139">
        <f>t_B2n6_AB5[[#This Row],[Offset]]-BE13</f>
        <v>3</v>
      </c>
      <c r="BE14" s="139">
        <f>INDEX(t_B2n6_Fixed[Offset],MATCH($A$51,t_B2n6[x],0),1)</f>
        <v>15</v>
      </c>
      <c r="BF14" s="139">
        <v>9</v>
      </c>
      <c r="BG14" s="139">
        <v>46</v>
      </c>
      <c r="BH14" s="293" t="s">
        <v>159</v>
      </c>
      <c r="BK14" s="139">
        <f>t_B2n6_AB6[[#This Row],[Offset]]-BL13</f>
        <v>3</v>
      </c>
      <c r="BL14" s="139">
        <f>INDEX(t_B2n6_Fixed[Offset],MATCH($A$49,t_B2n6[x],0),1)</f>
        <v>13</v>
      </c>
      <c r="BM14" s="139">
        <v>4</v>
      </c>
      <c r="BN14" s="139">
        <v>44</v>
      </c>
      <c r="BO14" s="289" t="s">
        <v>157</v>
      </c>
      <c r="CB14" s="16"/>
    </row>
    <row r="15" spans="1:80" x14ac:dyDescent="0.25">
      <c r="A15" s="139">
        <v>10</v>
      </c>
      <c r="B15" s="19">
        <f>ROUNDUP(t_B2n6_Fixed[[#This Row],[Row]]-$B$3,0)</f>
        <v>-22</v>
      </c>
      <c r="C15" s="18">
        <f>t_B2n6[[#This Row],[x]]-D14</f>
        <v>1</v>
      </c>
      <c r="D15" s="14">
        <v>10</v>
      </c>
      <c r="E15" s="175">
        <f>MOD(INT(t_B2n6[[#This Row],[x]]/$B$1^INT(RIGHT(t_B2n6[[#Headers],[b5]],1))),$B$1)</f>
        <v>0</v>
      </c>
      <c r="F15" s="175">
        <f>MOD(INT(t_B2n6[[#This Row],[x]]/$B$1^INT(RIGHT(t_B2n6[[#Headers],[b4]],1))),$B$1)</f>
        <v>0</v>
      </c>
      <c r="G15" s="167">
        <f>MOD(INT(t_B2n6[[#This Row],[x]]/$B$1^INT(RIGHT(t_B2n6[[#Headers],[b3]],1))),$B$1)</f>
        <v>1</v>
      </c>
      <c r="H15" s="175">
        <f>MOD(INT(t_B2n6[[#This Row],[x]]/$B$1^INT(RIGHT(t_B2n6[[#Headers],[b2]],1))),$B$1)</f>
        <v>0</v>
      </c>
      <c r="I15" s="175">
        <f>MOD(INT(t_B2n6[[#This Row],[x]]/$B$1^INT(RIGHT(t_B2n6[[#Headers],[b1]],1))),$B$1)</f>
        <v>1</v>
      </c>
      <c r="J15" s="167">
        <f>MOD(INT(t_B2n6[[#This Row],[x]]/$B$1^INT(RIGHT(t_B2n6[[#Headers],[b0]],1))),$B$1)</f>
        <v>0</v>
      </c>
      <c r="K15" s="16"/>
      <c r="L15" s="16"/>
      <c r="AN15" s="16"/>
      <c r="AP15" s="139">
        <f>t_B2n6_AB3[[#This Row],[Offset]]-AQ14</f>
        <v>2</v>
      </c>
      <c r="AQ15" s="139">
        <f>INDEX(t_B2n6_Fixed[Offset],MATCH($A$66,t_B2n6[x],0),1)</f>
        <v>30</v>
      </c>
      <c r="AR15" s="139">
        <v>10</v>
      </c>
      <c r="AS15" s="139">
        <v>61</v>
      </c>
      <c r="AT15" s="290" t="s">
        <v>174</v>
      </c>
      <c r="AW15" s="139">
        <f>t_B2n6_AB4[[#This Row],[Offset]]-AX14</f>
        <v>6</v>
      </c>
      <c r="AX15" s="139">
        <f>INDEX(t_B2n6_Fixed[Offset],MATCH($A$62,t_B2n6[x],0),1)</f>
        <v>26</v>
      </c>
      <c r="AY15" s="139">
        <v>10</v>
      </c>
      <c r="AZ15" s="139">
        <v>57</v>
      </c>
      <c r="BA15" s="292" t="s">
        <v>170</v>
      </c>
      <c r="BD15" s="139">
        <f>t_B2n6_AB5[[#This Row],[Offset]]-BE14</f>
        <v>7</v>
      </c>
      <c r="BE15" s="139">
        <f>INDEX(t_B2n6_Fixed[Offset],MATCH($A$58,t_B2n6[x],0),1)</f>
        <v>22</v>
      </c>
      <c r="BF15" s="139">
        <v>10</v>
      </c>
      <c r="BG15" s="139">
        <v>53</v>
      </c>
      <c r="BH15" s="293" t="s">
        <v>166</v>
      </c>
      <c r="BK15" s="139">
        <f>t_B2n6_AB6[[#This Row],[Offset]]-BL14</f>
        <v>6</v>
      </c>
      <c r="BL15" s="139">
        <f>INDEX(t_B2n6_Fixed[Offset],MATCH($A$55,t_B2n6[x],0),1)</f>
        <v>19</v>
      </c>
      <c r="BM15" s="139">
        <v>5</v>
      </c>
      <c r="BN15" s="139">
        <v>50</v>
      </c>
      <c r="BO15" s="289" t="s">
        <v>163</v>
      </c>
      <c r="CB15" s="16"/>
    </row>
    <row r="16" spans="1:80" x14ac:dyDescent="0.25">
      <c r="A16" s="139">
        <v>11</v>
      </c>
      <c r="B16" s="19">
        <f>ROUNDUP(t_B2n6_Fixed[[#This Row],[Row]]-$B$3,0)</f>
        <v>-21</v>
      </c>
      <c r="C16" s="18">
        <f>t_B2n6[[#This Row],[x]]-D15</f>
        <v>1</v>
      </c>
      <c r="D16" s="14">
        <v>11</v>
      </c>
      <c r="E16" s="83">
        <f>MOD(INT(t_B2n6[[#This Row],[x]]/$B$1^INT(RIGHT(t_B2n6[[#Headers],[b5]],1))),$B$1)</f>
        <v>0</v>
      </c>
      <c r="F16" s="83">
        <f>MOD(INT(t_B2n6[[#This Row],[x]]/$B$1^INT(RIGHT(t_B2n6[[#Headers],[b4]],1))),$B$1)</f>
        <v>0</v>
      </c>
      <c r="G16" s="84">
        <f>MOD(INT(t_B2n6[[#This Row],[x]]/$B$1^INT(RIGHT(t_B2n6[[#Headers],[b3]],1))),$B$1)</f>
        <v>1</v>
      </c>
      <c r="H16" s="83">
        <f>MOD(INT(t_B2n6[[#This Row],[x]]/$B$1^INT(RIGHT(t_B2n6[[#Headers],[b2]],1))),$B$1)</f>
        <v>0</v>
      </c>
      <c r="I16" s="83">
        <f>MOD(INT(t_B2n6[[#This Row],[x]]/$B$1^INT(RIGHT(t_B2n6[[#Headers],[b1]],1))),$B$1)</f>
        <v>1</v>
      </c>
      <c r="J16" s="84">
        <f>MOD(INT(t_B2n6[[#This Row],[x]]/$B$1^INT(RIGHT(t_B2n6[[#Headers],[b0]],1))),$B$1)</f>
        <v>1</v>
      </c>
      <c r="K16" s="16"/>
      <c r="L16" s="16"/>
      <c r="AN16" s="16"/>
      <c r="AP16" s="139">
        <f>t_B2n6_AB3[[#This Row],[Offset]]-AQ15</f>
        <v>1</v>
      </c>
      <c r="AQ16" s="139">
        <f>INDEX(t_B2n6_Fixed[Offset],MATCH($A$67,t_B2n6[x],0),1)</f>
        <v>31</v>
      </c>
      <c r="AR16" s="139">
        <v>11</v>
      </c>
      <c r="AS16" s="139">
        <v>62</v>
      </c>
      <c r="AT16" s="290" t="s">
        <v>175</v>
      </c>
      <c r="AW16" s="139">
        <f>t_B2n6_AB4[[#This Row],[Offset]]-AX15</f>
        <v>3</v>
      </c>
      <c r="AX16" s="139">
        <f>INDEX(t_B2n6_Fixed[Offset],MATCH($A$65,t_B2n6[x],0),1)</f>
        <v>29</v>
      </c>
      <c r="AY16" s="139">
        <v>11</v>
      </c>
      <c r="AZ16" s="139">
        <v>60</v>
      </c>
      <c r="BA16" s="292" t="s">
        <v>173</v>
      </c>
      <c r="BD16" s="139">
        <f>t_B2n6_AB5[[#This Row],[Offset]]-BE15</f>
        <v>5</v>
      </c>
      <c r="BE16" s="139">
        <f>INDEX(t_B2n6_Fixed[Offset],MATCH($A$63,t_B2n6[x],0),1)</f>
        <v>27</v>
      </c>
      <c r="BF16" s="139">
        <v>11</v>
      </c>
      <c r="BG16" s="139">
        <v>58</v>
      </c>
      <c r="BH16" s="293" t="s">
        <v>171</v>
      </c>
      <c r="BK16" s="139">
        <f>t_B2n6_AB6[[#This Row],[Offset]]-BL15</f>
        <v>2</v>
      </c>
      <c r="BL16" s="139">
        <f>INDEX(t_B2n6_Fixed[Offset],MATCH($A$57,t_B2n6[x],0),1)</f>
        <v>21</v>
      </c>
      <c r="BM16" s="139">
        <v>11</v>
      </c>
      <c r="BN16" s="139">
        <v>52</v>
      </c>
      <c r="BO16" s="294" t="s">
        <v>165</v>
      </c>
      <c r="CB16" s="16"/>
    </row>
    <row r="17" spans="1:76" x14ac:dyDescent="0.25">
      <c r="A17" s="139">
        <v>12</v>
      </c>
      <c r="B17" s="19">
        <f>ROUNDUP(t_B2n6_Fixed[[#This Row],[Row]]-$B$3,0)</f>
        <v>-20</v>
      </c>
      <c r="C17" s="18">
        <f>t_B2n6[[#This Row],[x]]-D16</f>
        <v>1</v>
      </c>
      <c r="D17" s="14">
        <v>12</v>
      </c>
      <c r="E17" s="44">
        <f>MOD(INT(t_B2n6[[#This Row],[x]]/$B$1^INT(RIGHT(t_B2n6[[#Headers],[b5]],1))),$B$1)</f>
        <v>0</v>
      </c>
      <c r="F17" s="44">
        <f>MOD(INT(t_B2n6[[#This Row],[x]]/$B$1^INT(RIGHT(t_B2n6[[#Headers],[b4]],1))),$B$1)</f>
        <v>0</v>
      </c>
      <c r="G17" s="45">
        <f>MOD(INT(t_B2n6[[#This Row],[x]]/$B$1^INT(RIGHT(t_B2n6[[#Headers],[b3]],1))),$B$1)</f>
        <v>1</v>
      </c>
      <c r="H17" s="44">
        <f>MOD(INT(t_B2n6[[#This Row],[x]]/$B$1^INT(RIGHT(t_B2n6[[#Headers],[b2]],1))),$B$1)</f>
        <v>1</v>
      </c>
      <c r="I17" s="44">
        <f>MOD(INT(t_B2n6[[#This Row],[x]]/$B$1^INT(RIGHT(t_B2n6[[#Headers],[b1]],1))),$B$1)</f>
        <v>0</v>
      </c>
      <c r="J17" s="45">
        <f>MOD(INT(t_B2n6[[#This Row],[x]]/$B$1^INT(RIGHT(t_B2n6[[#Headers],[b0]],1))),$B$1)</f>
        <v>0</v>
      </c>
      <c r="K17" s="16"/>
      <c r="L17" s="16"/>
      <c r="AN17" s="16"/>
      <c r="AS17" s="139"/>
      <c r="BX17" s="16"/>
    </row>
    <row r="18" spans="1:76" x14ac:dyDescent="0.25">
      <c r="A18" s="139">
        <v>13</v>
      </c>
      <c r="B18" s="19">
        <f>ROUNDUP(t_B2n6_Fixed[[#This Row],[Row]]-$B$3,0)</f>
        <v>-19</v>
      </c>
      <c r="C18" s="18">
        <f>t_B2n6[[#This Row],[x]]-D17</f>
        <v>1</v>
      </c>
      <c r="D18" s="14">
        <v>13</v>
      </c>
      <c r="E18" s="62">
        <f>MOD(INT(t_B2n6[[#This Row],[x]]/$B$1^INT(RIGHT(t_B2n6[[#Headers],[b5]],1))),$B$1)</f>
        <v>0</v>
      </c>
      <c r="F18" s="62">
        <f>MOD(INT(t_B2n6[[#This Row],[x]]/$B$1^INT(RIGHT(t_B2n6[[#Headers],[b4]],1))),$B$1)</f>
        <v>0</v>
      </c>
      <c r="G18" s="63">
        <f>MOD(INT(t_B2n6[[#This Row],[x]]/$B$1^INT(RIGHT(t_B2n6[[#Headers],[b3]],1))),$B$1)</f>
        <v>1</v>
      </c>
      <c r="H18" s="62">
        <f>MOD(INT(t_B2n6[[#This Row],[x]]/$B$1^INT(RIGHT(t_B2n6[[#Headers],[b2]],1))),$B$1)</f>
        <v>1</v>
      </c>
      <c r="I18" s="62">
        <f>MOD(INT(t_B2n6[[#This Row],[x]]/$B$1^INT(RIGHT(t_B2n6[[#Headers],[b1]],1))),$B$1)</f>
        <v>0</v>
      </c>
      <c r="J18" s="63">
        <f>MOD(INT(t_B2n6[[#This Row],[x]]/$B$1^INT(RIGHT(t_B2n6[[#Headers],[b0]],1))),$B$1)</f>
        <v>1</v>
      </c>
      <c r="K18" s="16"/>
      <c r="L18" s="16"/>
      <c r="AN18" s="16"/>
      <c r="BX18" s="16"/>
    </row>
    <row r="19" spans="1:76" x14ac:dyDescent="0.25">
      <c r="A19" s="139">
        <v>14</v>
      </c>
      <c r="B19" s="19">
        <f>ROUNDUP(t_B2n6_Fixed[[#This Row],[Row]]-$B$3,0)</f>
        <v>-18</v>
      </c>
      <c r="C19" s="18">
        <f>t_B2n6[[#This Row],[x]]-D18</f>
        <v>1</v>
      </c>
      <c r="D19" s="14">
        <v>14</v>
      </c>
      <c r="E19" s="176">
        <f>MOD(INT(t_B2n6[[#This Row],[x]]/$B$1^INT(RIGHT(t_B2n6[[#Headers],[b5]],1))),$B$1)</f>
        <v>0</v>
      </c>
      <c r="F19" s="176">
        <f>MOD(INT(t_B2n6[[#This Row],[x]]/$B$1^INT(RIGHT(t_B2n6[[#Headers],[b4]],1))),$B$1)</f>
        <v>0</v>
      </c>
      <c r="G19" s="177">
        <f>MOD(INT(t_B2n6[[#This Row],[x]]/$B$1^INT(RIGHT(t_B2n6[[#Headers],[b3]],1))),$B$1)</f>
        <v>1</v>
      </c>
      <c r="H19" s="176">
        <f>MOD(INT(t_B2n6[[#This Row],[x]]/$B$1^INT(RIGHT(t_B2n6[[#Headers],[b2]],1))),$B$1)</f>
        <v>1</v>
      </c>
      <c r="I19" s="176">
        <f>MOD(INT(t_B2n6[[#This Row],[x]]/$B$1^INT(RIGHT(t_B2n6[[#Headers],[b1]],1))),$B$1)</f>
        <v>1</v>
      </c>
      <c r="J19" s="177">
        <f>MOD(INT(t_B2n6[[#This Row],[x]]/$B$1^INT(RIGHT(t_B2n6[[#Headers],[b0]],1))),$B$1)</f>
        <v>0</v>
      </c>
      <c r="K19" s="16"/>
      <c r="L19" s="16"/>
      <c r="AN19" s="16"/>
      <c r="BX19" s="16"/>
    </row>
    <row r="20" spans="1:76" x14ac:dyDescent="0.25">
      <c r="A20" s="139">
        <v>15</v>
      </c>
      <c r="B20" s="19">
        <f>ROUNDUP(t_B2n6_Fixed[[#This Row],[Row]]-$B$3,0)</f>
        <v>-17</v>
      </c>
      <c r="C20" s="18">
        <f>t_B2n6[[#This Row],[x]]-D19</f>
        <v>1</v>
      </c>
      <c r="D20" s="14">
        <v>15</v>
      </c>
      <c r="E20" s="173">
        <f>MOD(INT(t_B2n6[[#This Row],[x]]/$B$1^INT(RIGHT(t_B2n6[[#Headers],[b5]],1))),$B$1)</f>
        <v>0</v>
      </c>
      <c r="F20" s="173">
        <f>MOD(INT(t_B2n6[[#This Row],[x]]/$B$1^INT(RIGHT(t_B2n6[[#Headers],[b4]],1))),$B$1)</f>
        <v>0</v>
      </c>
      <c r="G20" s="170">
        <f>MOD(INT(t_B2n6[[#This Row],[x]]/$B$1^INT(RIGHT(t_B2n6[[#Headers],[b3]],1))),$B$1)</f>
        <v>1</v>
      </c>
      <c r="H20" s="173">
        <f>MOD(INT(t_B2n6[[#This Row],[x]]/$B$1^INT(RIGHT(t_B2n6[[#Headers],[b2]],1))),$B$1)</f>
        <v>1</v>
      </c>
      <c r="I20" s="173">
        <f>MOD(INT(t_B2n6[[#This Row],[x]]/$B$1^INT(RIGHT(t_B2n6[[#Headers],[b1]],1))),$B$1)</f>
        <v>1</v>
      </c>
      <c r="J20" s="170">
        <f>MOD(INT(t_B2n6[[#This Row],[x]]/$B$1^INT(RIGHT(t_B2n6[[#Headers],[b0]],1))),$B$1)</f>
        <v>1</v>
      </c>
      <c r="K20" s="16"/>
      <c r="L20" s="16"/>
      <c r="AN20" s="16"/>
      <c r="BX20" s="16"/>
    </row>
    <row r="21" spans="1:76" x14ac:dyDescent="0.25">
      <c r="A21" s="139">
        <v>16</v>
      </c>
      <c r="B21" s="19">
        <f>ROUNDUP(t_B2n6_Fixed[[#This Row],[Row]]-$B$3,0)</f>
        <v>-16</v>
      </c>
      <c r="C21" s="18">
        <f>t_B2n6[[#This Row],[x]]-D20</f>
        <v>1</v>
      </c>
      <c r="D21" s="14">
        <v>16</v>
      </c>
      <c r="E21" s="42">
        <f>MOD(INT(t_B2n6[[#This Row],[x]]/$B$1^INT(RIGHT(t_B2n6[[#Headers],[b5]],1))),$B$1)</f>
        <v>0</v>
      </c>
      <c r="F21" s="42">
        <f>MOD(INT(t_B2n6[[#This Row],[x]]/$B$1^INT(RIGHT(t_B2n6[[#Headers],[b4]],1))),$B$1)</f>
        <v>1</v>
      </c>
      <c r="G21" s="43">
        <f>MOD(INT(t_B2n6[[#This Row],[x]]/$B$1^INT(RIGHT(t_B2n6[[#Headers],[b3]],1))),$B$1)</f>
        <v>0</v>
      </c>
      <c r="H21" s="42">
        <f>MOD(INT(t_B2n6[[#This Row],[x]]/$B$1^INT(RIGHT(t_B2n6[[#Headers],[b2]],1))),$B$1)</f>
        <v>0</v>
      </c>
      <c r="I21" s="42">
        <f>MOD(INT(t_B2n6[[#This Row],[x]]/$B$1^INT(RIGHT(t_B2n6[[#Headers],[b1]],1))),$B$1)</f>
        <v>0</v>
      </c>
      <c r="J21" s="43">
        <f>MOD(INT(t_B2n6[[#This Row],[x]]/$B$1^INT(RIGHT(t_B2n6[[#Headers],[b0]],1))),$B$1)</f>
        <v>0</v>
      </c>
      <c r="K21" s="16"/>
      <c r="L21" s="16"/>
      <c r="AN21" s="16"/>
      <c r="BX21" s="16"/>
    </row>
    <row r="22" spans="1:76" x14ac:dyDescent="0.25">
      <c r="A22" s="139">
        <v>17</v>
      </c>
      <c r="B22" s="19">
        <f>ROUNDUP(t_B2n6_Fixed[[#This Row],[Row]]-$B$3,0)</f>
        <v>-15</v>
      </c>
      <c r="C22" s="18">
        <f>t_B2n6[[#This Row],[x]]-D21</f>
        <v>1</v>
      </c>
      <c r="D22" s="14">
        <v>17</v>
      </c>
      <c r="E22" s="175">
        <f>MOD(INT(t_B2n6[[#This Row],[x]]/$B$1^INT(RIGHT(t_B2n6[[#Headers],[b5]],1))),$B$1)</f>
        <v>0</v>
      </c>
      <c r="F22" s="175">
        <f>MOD(INT(t_B2n6[[#This Row],[x]]/$B$1^INT(RIGHT(t_B2n6[[#Headers],[b4]],1))),$B$1)</f>
        <v>1</v>
      </c>
      <c r="G22" s="167">
        <f>MOD(INT(t_B2n6[[#This Row],[x]]/$B$1^INT(RIGHT(t_B2n6[[#Headers],[b3]],1))),$B$1)</f>
        <v>0</v>
      </c>
      <c r="H22" s="175">
        <f>MOD(INT(t_B2n6[[#This Row],[x]]/$B$1^INT(RIGHT(t_B2n6[[#Headers],[b2]],1))),$B$1)</f>
        <v>0</v>
      </c>
      <c r="I22" s="175">
        <f>MOD(INT(t_B2n6[[#This Row],[x]]/$B$1^INT(RIGHT(t_B2n6[[#Headers],[b1]],1))),$B$1)</f>
        <v>0</v>
      </c>
      <c r="J22" s="167">
        <f>MOD(INT(t_B2n6[[#This Row],[x]]/$B$1^INT(RIGHT(t_B2n6[[#Headers],[b0]],1))),$B$1)</f>
        <v>1</v>
      </c>
      <c r="K22" s="16"/>
      <c r="L22" s="16"/>
      <c r="AN22" s="16"/>
      <c r="BX22" s="16"/>
    </row>
    <row r="23" spans="1:76" x14ac:dyDescent="0.25">
      <c r="A23" s="139">
        <v>18</v>
      </c>
      <c r="B23" s="19">
        <f>ROUNDUP(t_B2n6_Fixed[[#This Row],[Row]]-$B$3,0)</f>
        <v>-14</v>
      </c>
      <c r="C23" s="18">
        <f>t_B2n6[[#This Row],[x]]-D22</f>
        <v>1</v>
      </c>
      <c r="D23" s="14">
        <v>18</v>
      </c>
      <c r="E23" s="50">
        <f>MOD(INT(t_B2n6[[#This Row],[x]]/$B$1^INT(RIGHT(t_B2n6[[#Headers],[b5]],1))),$B$1)</f>
        <v>0</v>
      </c>
      <c r="F23" s="50">
        <f>MOD(INT(t_B2n6[[#This Row],[x]]/$B$1^INT(RIGHT(t_B2n6[[#Headers],[b4]],1))),$B$1)</f>
        <v>1</v>
      </c>
      <c r="G23" s="51">
        <f>MOD(INT(t_B2n6[[#This Row],[x]]/$B$1^INT(RIGHT(t_B2n6[[#Headers],[b3]],1))),$B$1)</f>
        <v>0</v>
      </c>
      <c r="H23" s="50">
        <f>MOD(INT(t_B2n6[[#This Row],[x]]/$B$1^INT(RIGHT(t_B2n6[[#Headers],[b2]],1))),$B$1)</f>
        <v>0</v>
      </c>
      <c r="I23" s="50">
        <f>MOD(INT(t_B2n6[[#This Row],[x]]/$B$1^INT(RIGHT(t_B2n6[[#Headers],[b1]],1))),$B$1)</f>
        <v>1</v>
      </c>
      <c r="J23" s="51">
        <f>MOD(INT(t_B2n6[[#This Row],[x]]/$B$1^INT(RIGHT(t_B2n6[[#Headers],[b0]],1))),$B$1)</f>
        <v>0</v>
      </c>
      <c r="K23" s="16"/>
      <c r="L23" s="16"/>
      <c r="AN23" s="16"/>
      <c r="BX23" s="16"/>
    </row>
    <row r="24" spans="1:76" x14ac:dyDescent="0.25">
      <c r="A24" s="139">
        <v>19</v>
      </c>
      <c r="B24" s="19">
        <f>ROUNDUP(t_B2n6_Fixed[[#This Row],[Row]]-$B$3,0)</f>
        <v>-13</v>
      </c>
      <c r="C24" s="18">
        <f>t_B2n6[[#This Row],[x]]-D23</f>
        <v>1</v>
      </c>
      <c r="D24" s="14">
        <v>19</v>
      </c>
      <c r="E24" s="62">
        <f>MOD(INT(t_B2n6[[#This Row],[x]]/$B$1^INT(RIGHT(t_B2n6[[#Headers],[b5]],1))),$B$1)</f>
        <v>0</v>
      </c>
      <c r="F24" s="62">
        <f>MOD(INT(t_B2n6[[#This Row],[x]]/$B$1^INT(RIGHT(t_B2n6[[#Headers],[b4]],1))),$B$1)</f>
        <v>1</v>
      </c>
      <c r="G24" s="63">
        <f>MOD(INT(t_B2n6[[#This Row],[x]]/$B$1^INT(RIGHT(t_B2n6[[#Headers],[b3]],1))),$B$1)</f>
        <v>0</v>
      </c>
      <c r="H24" s="62">
        <f>MOD(INT(t_B2n6[[#This Row],[x]]/$B$1^INT(RIGHT(t_B2n6[[#Headers],[b2]],1))),$B$1)</f>
        <v>0</v>
      </c>
      <c r="I24" s="62">
        <f>MOD(INT(t_B2n6[[#This Row],[x]]/$B$1^INT(RIGHT(t_B2n6[[#Headers],[b1]],1))),$B$1)</f>
        <v>1</v>
      </c>
      <c r="J24" s="63">
        <f>MOD(INT(t_B2n6[[#This Row],[x]]/$B$1^INT(RIGHT(t_B2n6[[#Headers],[b0]],1))),$B$1)</f>
        <v>1</v>
      </c>
      <c r="K24" s="16"/>
      <c r="L24" s="16"/>
      <c r="AN24" s="16"/>
      <c r="BX24" s="16"/>
    </row>
    <row r="25" spans="1:76" x14ac:dyDescent="0.25">
      <c r="A25" s="139">
        <v>20</v>
      </c>
      <c r="B25" s="19">
        <f>ROUNDUP(t_B2n6_Fixed[[#This Row],[Row]]-$B$3,0)</f>
        <v>-12</v>
      </c>
      <c r="C25" s="18">
        <f>t_B2n6[[#This Row],[x]]-D24</f>
        <v>1</v>
      </c>
      <c r="D25" s="14">
        <v>20</v>
      </c>
      <c r="E25" s="175">
        <f>MOD(INT(t_B2n6[[#This Row],[x]]/$B$1^INT(RIGHT(t_B2n6[[#Headers],[b5]],1))),$B$1)</f>
        <v>0</v>
      </c>
      <c r="F25" s="175">
        <f>MOD(INT(t_B2n6[[#This Row],[x]]/$B$1^INT(RIGHT(t_B2n6[[#Headers],[b4]],1))),$B$1)</f>
        <v>1</v>
      </c>
      <c r="G25" s="167">
        <f>MOD(INT(t_B2n6[[#This Row],[x]]/$B$1^INT(RIGHT(t_B2n6[[#Headers],[b3]],1))),$B$1)</f>
        <v>0</v>
      </c>
      <c r="H25" s="175">
        <f>MOD(INT(t_B2n6[[#This Row],[x]]/$B$1^INT(RIGHT(t_B2n6[[#Headers],[b2]],1))),$B$1)</f>
        <v>1</v>
      </c>
      <c r="I25" s="175">
        <f>MOD(INT(t_B2n6[[#This Row],[x]]/$B$1^INT(RIGHT(t_B2n6[[#Headers],[b1]],1))),$B$1)</f>
        <v>0</v>
      </c>
      <c r="J25" s="167">
        <f>MOD(INT(t_B2n6[[#This Row],[x]]/$B$1^INT(RIGHT(t_B2n6[[#Headers],[b0]],1))),$B$1)</f>
        <v>0</v>
      </c>
      <c r="K25" s="16"/>
      <c r="L25" s="16"/>
      <c r="AN25" s="16"/>
      <c r="BX25" s="16"/>
    </row>
    <row r="26" spans="1:76" x14ac:dyDescent="0.25">
      <c r="A26" s="139">
        <v>21</v>
      </c>
      <c r="B26" s="19">
        <f>ROUNDUP(t_B2n6_Fixed[[#This Row],[Row]]-$B$3,0)</f>
        <v>-11</v>
      </c>
      <c r="C26" s="18">
        <f>t_B2n6[[#This Row],[x]]-D25</f>
        <v>1</v>
      </c>
      <c r="D26" s="14">
        <v>21</v>
      </c>
      <c r="E26" s="40">
        <f>MOD(INT(t_B2n6[[#This Row],[x]]/$B$1^INT(RIGHT(t_B2n6[[#Headers],[b5]],1))),$B$1)</f>
        <v>0</v>
      </c>
      <c r="F26" s="40">
        <f>MOD(INT(t_B2n6[[#This Row],[x]]/$B$1^INT(RIGHT(t_B2n6[[#Headers],[b4]],1))),$B$1)</f>
        <v>1</v>
      </c>
      <c r="G26" s="41">
        <f>MOD(INT(t_B2n6[[#This Row],[x]]/$B$1^INT(RIGHT(t_B2n6[[#Headers],[b3]],1))),$B$1)</f>
        <v>0</v>
      </c>
      <c r="H26" s="40">
        <f>MOD(INT(t_B2n6[[#This Row],[x]]/$B$1^INT(RIGHT(t_B2n6[[#Headers],[b2]],1))),$B$1)</f>
        <v>1</v>
      </c>
      <c r="I26" s="40">
        <f>MOD(INT(t_B2n6[[#This Row],[x]]/$B$1^INT(RIGHT(t_B2n6[[#Headers],[b1]],1))),$B$1)</f>
        <v>0</v>
      </c>
      <c r="J26" s="41">
        <f>MOD(INT(t_B2n6[[#This Row],[x]]/$B$1^INT(RIGHT(t_B2n6[[#Headers],[b0]],1))),$B$1)</f>
        <v>1</v>
      </c>
      <c r="K26" s="16"/>
      <c r="L26" s="16"/>
      <c r="AN26" s="16"/>
      <c r="BX26" s="16"/>
    </row>
    <row r="27" spans="1:76" x14ac:dyDescent="0.25">
      <c r="A27" s="139">
        <v>22</v>
      </c>
      <c r="B27" s="19">
        <f>ROUNDUP(t_B2n6_Fixed[[#This Row],[Row]]-$B$3,0)</f>
        <v>-10</v>
      </c>
      <c r="C27" s="18">
        <f>t_B2n6[[#This Row],[x]]-D26</f>
        <v>1</v>
      </c>
      <c r="D27" s="14">
        <v>22</v>
      </c>
      <c r="E27" s="83">
        <f>MOD(INT(t_B2n6[[#This Row],[x]]/$B$1^INT(RIGHT(t_B2n6[[#Headers],[b5]],1))),$B$1)</f>
        <v>0</v>
      </c>
      <c r="F27" s="83">
        <f>MOD(INT(t_B2n6[[#This Row],[x]]/$B$1^INT(RIGHT(t_B2n6[[#Headers],[b4]],1))),$B$1)</f>
        <v>1</v>
      </c>
      <c r="G27" s="84">
        <f>MOD(INT(t_B2n6[[#This Row],[x]]/$B$1^INT(RIGHT(t_B2n6[[#Headers],[b3]],1))),$B$1)</f>
        <v>0</v>
      </c>
      <c r="H27" s="83">
        <f>MOD(INT(t_B2n6[[#This Row],[x]]/$B$1^INT(RIGHT(t_B2n6[[#Headers],[b2]],1))),$B$1)</f>
        <v>1</v>
      </c>
      <c r="I27" s="83">
        <f>MOD(INT(t_B2n6[[#This Row],[x]]/$B$1^INT(RIGHT(t_B2n6[[#Headers],[b1]],1))),$B$1)</f>
        <v>1</v>
      </c>
      <c r="J27" s="84">
        <f>MOD(INT(t_B2n6[[#This Row],[x]]/$B$1^INT(RIGHT(t_B2n6[[#Headers],[b0]],1))),$B$1)</f>
        <v>0</v>
      </c>
      <c r="K27" s="16"/>
      <c r="L27" s="16"/>
      <c r="AN27" s="16"/>
      <c r="BX27" s="16"/>
    </row>
    <row r="28" spans="1:76" x14ac:dyDescent="0.25">
      <c r="A28" s="139">
        <v>23</v>
      </c>
      <c r="B28" s="19">
        <f>ROUNDUP(t_B2n6_Fixed[[#This Row],[Row]]-$B$3,0)</f>
        <v>-9</v>
      </c>
      <c r="C28" s="18">
        <f>t_B2n6[[#This Row],[x]]-D27</f>
        <v>1</v>
      </c>
      <c r="D28" s="14">
        <v>23</v>
      </c>
      <c r="E28" s="185">
        <f>MOD(INT(t_B2n6[[#This Row],[x]]/$B$1^INT(RIGHT(t_B2n6[[#Headers],[b5]],1))),$B$1)</f>
        <v>0</v>
      </c>
      <c r="F28" s="185">
        <f>MOD(INT(t_B2n6[[#This Row],[x]]/$B$1^INT(RIGHT(t_B2n6[[#Headers],[b4]],1))),$B$1)</f>
        <v>1</v>
      </c>
      <c r="G28" s="184">
        <f>MOD(INT(t_B2n6[[#This Row],[x]]/$B$1^INT(RIGHT(t_B2n6[[#Headers],[b3]],1))),$B$1)</f>
        <v>0</v>
      </c>
      <c r="H28" s="185">
        <f>MOD(INT(t_B2n6[[#This Row],[x]]/$B$1^INT(RIGHT(t_B2n6[[#Headers],[b2]],1))),$B$1)</f>
        <v>1</v>
      </c>
      <c r="I28" s="185">
        <f>MOD(INT(t_B2n6[[#This Row],[x]]/$B$1^INT(RIGHT(t_B2n6[[#Headers],[b1]],1))),$B$1)</f>
        <v>1</v>
      </c>
      <c r="J28" s="184">
        <f>MOD(INT(t_B2n6[[#This Row],[x]]/$B$1^INT(RIGHT(t_B2n6[[#Headers],[b0]],1))),$B$1)</f>
        <v>1</v>
      </c>
      <c r="K28" s="16"/>
      <c r="L28" s="16"/>
      <c r="AN28" s="16"/>
      <c r="BX28" s="16"/>
    </row>
    <row r="29" spans="1:76" x14ac:dyDescent="0.25">
      <c r="A29" s="139">
        <v>24</v>
      </c>
      <c r="B29" s="19">
        <f>ROUNDUP(t_B2n6_Fixed[[#This Row],[Row]]-$B$3,0)</f>
        <v>-8</v>
      </c>
      <c r="C29" s="18">
        <f>t_B2n6[[#This Row],[x]]-D28</f>
        <v>1</v>
      </c>
      <c r="D29" s="14">
        <v>24</v>
      </c>
      <c r="E29" s="44">
        <f>MOD(INT(t_B2n6[[#This Row],[x]]/$B$1^INT(RIGHT(t_B2n6[[#Headers],[b5]],1))),$B$1)</f>
        <v>0</v>
      </c>
      <c r="F29" s="44">
        <f>MOD(INT(t_B2n6[[#This Row],[x]]/$B$1^INT(RIGHT(t_B2n6[[#Headers],[b4]],1))),$B$1)</f>
        <v>1</v>
      </c>
      <c r="G29" s="45">
        <f>MOD(INT(t_B2n6[[#This Row],[x]]/$B$1^INT(RIGHT(t_B2n6[[#Headers],[b3]],1))),$B$1)</f>
        <v>1</v>
      </c>
      <c r="H29" s="44">
        <f>MOD(INT(t_B2n6[[#This Row],[x]]/$B$1^INT(RIGHT(t_B2n6[[#Headers],[b2]],1))),$B$1)</f>
        <v>0</v>
      </c>
      <c r="I29" s="44">
        <f>MOD(INT(t_B2n6[[#This Row],[x]]/$B$1^INT(RIGHT(t_B2n6[[#Headers],[b1]],1))),$B$1)</f>
        <v>0</v>
      </c>
      <c r="J29" s="45">
        <f>MOD(INT(t_B2n6[[#This Row],[x]]/$B$1^INT(RIGHT(t_B2n6[[#Headers],[b0]],1))),$B$1)</f>
        <v>0</v>
      </c>
      <c r="K29" s="16"/>
      <c r="L29" s="16"/>
    </row>
    <row r="30" spans="1:76" x14ac:dyDescent="0.25">
      <c r="A30" s="139">
        <v>25</v>
      </c>
      <c r="B30" s="19">
        <f>ROUNDUP(t_B2n6_Fixed[[#This Row],[Row]]-$B$3,0)</f>
        <v>-7</v>
      </c>
      <c r="C30" s="18">
        <f>t_B2n6[[#This Row],[x]]-D29</f>
        <v>1</v>
      </c>
      <c r="D30" s="14">
        <v>25</v>
      </c>
      <c r="E30" s="83">
        <f>MOD(INT(t_B2n6[[#This Row],[x]]/$B$1^INT(RIGHT(t_B2n6[[#Headers],[b5]],1))),$B$1)</f>
        <v>0</v>
      </c>
      <c r="F30" s="83">
        <f>MOD(INT(t_B2n6[[#This Row],[x]]/$B$1^INT(RIGHT(t_B2n6[[#Headers],[b4]],1))),$B$1)</f>
        <v>1</v>
      </c>
      <c r="G30" s="84">
        <f>MOD(INT(t_B2n6[[#This Row],[x]]/$B$1^INT(RIGHT(t_B2n6[[#Headers],[b3]],1))),$B$1)</f>
        <v>1</v>
      </c>
      <c r="H30" s="83">
        <f>MOD(INT(t_B2n6[[#This Row],[x]]/$B$1^INT(RIGHT(t_B2n6[[#Headers],[b2]],1))),$B$1)</f>
        <v>0</v>
      </c>
      <c r="I30" s="83">
        <f>MOD(INT(t_B2n6[[#This Row],[x]]/$B$1^INT(RIGHT(t_B2n6[[#Headers],[b1]],1))),$B$1)</f>
        <v>0</v>
      </c>
      <c r="J30" s="84">
        <f>MOD(INT(t_B2n6[[#This Row],[x]]/$B$1^INT(RIGHT(t_B2n6[[#Headers],[b0]],1))),$B$1)</f>
        <v>1</v>
      </c>
      <c r="K30" s="16"/>
      <c r="L30" s="16"/>
    </row>
    <row r="31" spans="1:76" x14ac:dyDescent="0.25">
      <c r="A31" s="139">
        <v>26</v>
      </c>
      <c r="B31" s="19">
        <f>ROUNDUP(t_B2n6_Fixed[[#This Row],[Row]]-$B$3,0)</f>
        <v>-6</v>
      </c>
      <c r="C31" s="18">
        <f>t_B2n6[[#This Row],[x]]-D30</f>
        <v>1</v>
      </c>
      <c r="D31" s="14">
        <v>26</v>
      </c>
      <c r="E31" s="62">
        <f>MOD(INT(t_B2n6[[#This Row],[x]]/$B$1^INT(RIGHT(t_B2n6[[#Headers],[b5]],1))),$B$1)</f>
        <v>0</v>
      </c>
      <c r="F31" s="62">
        <f>MOD(INT(t_B2n6[[#This Row],[x]]/$B$1^INT(RIGHT(t_B2n6[[#Headers],[b4]],1))),$B$1)</f>
        <v>1</v>
      </c>
      <c r="G31" s="63">
        <f>MOD(INT(t_B2n6[[#This Row],[x]]/$B$1^INT(RIGHT(t_B2n6[[#Headers],[b3]],1))),$B$1)</f>
        <v>1</v>
      </c>
      <c r="H31" s="62">
        <f>MOD(INT(t_B2n6[[#This Row],[x]]/$B$1^INT(RIGHT(t_B2n6[[#Headers],[b2]],1))),$B$1)</f>
        <v>0</v>
      </c>
      <c r="I31" s="62">
        <f>MOD(INT(t_B2n6[[#This Row],[x]]/$B$1^INT(RIGHT(t_B2n6[[#Headers],[b1]],1))),$B$1)</f>
        <v>1</v>
      </c>
      <c r="J31" s="63">
        <f>MOD(INT(t_B2n6[[#This Row],[x]]/$B$1^INT(RIGHT(t_B2n6[[#Headers],[b0]],1))),$B$1)</f>
        <v>0</v>
      </c>
      <c r="K31" s="16"/>
      <c r="L31" s="16"/>
    </row>
    <row r="32" spans="1:76" x14ac:dyDescent="0.25">
      <c r="A32" s="139">
        <v>27</v>
      </c>
      <c r="B32" s="19">
        <f>ROUNDUP(t_B2n6_Fixed[[#This Row],[Row]]-$B$3,0)</f>
        <v>-5</v>
      </c>
      <c r="C32" s="18">
        <f>t_B2n6[[#This Row],[x]]-D31</f>
        <v>1</v>
      </c>
      <c r="D32" s="14">
        <v>27</v>
      </c>
      <c r="E32" s="60">
        <f>MOD(INT(t_B2n6[[#This Row],[x]]/$B$1^INT(RIGHT(t_B2n6[[#Headers],[b5]],1))),$B$1)</f>
        <v>0</v>
      </c>
      <c r="F32" s="60">
        <f>MOD(INT(t_B2n6[[#This Row],[x]]/$B$1^INT(RIGHT(t_B2n6[[#Headers],[b4]],1))),$B$1)</f>
        <v>1</v>
      </c>
      <c r="G32" s="178">
        <f>MOD(INT(t_B2n6[[#This Row],[x]]/$B$1^INT(RIGHT(t_B2n6[[#Headers],[b3]],1))),$B$1)</f>
        <v>1</v>
      </c>
      <c r="H32" s="178">
        <f>MOD(INT(t_B2n6[[#This Row],[x]]/$B$1^INT(RIGHT(t_B2n6[[#Headers],[b2]],1))),$B$1)</f>
        <v>0</v>
      </c>
      <c r="I32" s="178">
        <f>MOD(INT(t_B2n6[[#This Row],[x]]/$B$1^INT(RIGHT(t_B2n6[[#Headers],[b1]],1))),$B$1)</f>
        <v>1</v>
      </c>
      <c r="J32" s="178">
        <f>MOD(INT(t_B2n6[[#This Row],[x]]/$B$1^INT(RIGHT(t_B2n6[[#Headers],[b0]],1))),$B$1)</f>
        <v>1</v>
      </c>
      <c r="K32" s="16"/>
      <c r="L32" s="16"/>
    </row>
    <row r="33" spans="1:12" x14ac:dyDescent="0.25">
      <c r="A33" s="139">
        <v>28</v>
      </c>
      <c r="B33" s="19">
        <f>ROUNDUP(t_B2n6_Fixed[[#This Row],[Row]]-$B$3,0)</f>
        <v>-4</v>
      </c>
      <c r="C33" s="18">
        <f>t_B2n6[[#This Row],[x]]-D32</f>
        <v>1</v>
      </c>
      <c r="D33" s="14">
        <v>28</v>
      </c>
      <c r="E33" s="176">
        <f>MOD(INT(t_B2n6[[#This Row],[x]]/$B$1^INT(RIGHT(t_B2n6[[#Headers],[b5]],1))),$B$1)</f>
        <v>0</v>
      </c>
      <c r="F33" s="176">
        <f>MOD(INT(t_B2n6[[#This Row],[x]]/$B$1^INT(RIGHT(t_B2n6[[#Headers],[b4]],1))),$B$1)</f>
        <v>1</v>
      </c>
      <c r="G33" s="177">
        <f>MOD(INT(t_B2n6[[#This Row],[x]]/$B$1^INT(RIGHT(t_B2n6[[#Headers],[b3]],1))),$B$1)</f>
        <v>1</v>
      </c>
      <c r="H33" s="176">
        <f>MOD(INT(t_B2n6[[#This Row],[x]]/$B$1^INT(RIGHT(t_B2n6[[#Headers],[b2]],1))),$B$1)</f>
        <v>1</v>
      </c>
      <c r="I33" s="176">
        <f>MOD(INT(t_B2n6[[#This Row],[x]]/$B$1^INT(RIGHT(t_B2n6[[#Headers],[b1]],1))),$B$1)</f>
        <v>0</v>
      </c>
      <c r="J33" s="177">
        <f>MOD(INT(t_B2n6[[#This Row],[x]]/$B$1^INT(RIGHT(t_B2n6[[#Headers],[b0]],1))),$B$1)</f>
        <v>0</v>
      </c>
      <c r="L33" s="16"/>
    </row>
    <row r="34" spans="1:12" x14ac:dyDescent="0.25">
      <c r="A34" s="139">
        <v>29</v>
      </c>
      <c r="B34" s="19">
        <f>ROUNDUP(t_B2n6_Fixed[[#This Row],[Row]]-$B$3,0)</f>
        <v>-3</v>
      </c>
      <c r="C34" s="18">
        <f>t_B2n6[[#This Row],[x]]-D33</f>
        <v>1</v>
      </c>
      <c r="D34" s="14">
        <v>29</v>
      </c>
      <c r="E34" s="185">
        <f>MOD(INT(t_B2n6[[#This Row],[x]]/$B$1^INT(RIGHT(t_B2n6[[#Headers],[b5]],1))),$B$1)</f>
        <v>0</v>
      </c>
      <c r="F34" s="185">
        <f>MOD(INT(t_B2n6[[#This Row],[x]]/$B$1^INT(RIGHT(t_B2n6[[#Headers],[b4]],1))),$B$1)</f>
        <v>1</v>
      </c>
      <c r="G34" s="184">
        <f>MOD(INT(t_B2n6[[#This Row],[x]]/$B$1^INT(RIGHT(t_B2n6[[#Headers],[b3]],1))),$B$1)</f>
        <v>1</v>
      </c>
      <c r="H34" s="185">
        <f>MOD(INT(t_B2n6[[#This Row],[x]]/$B$1^INT(RIGHT(t_B2n6[[#Headers],[b2]],1))),$B$1)</f>
        <v>1</v>
      </c>
      <c r="I34" s="185">
        <f>MOD(INT(t_B2n6[[#This Row],[x]]/$B$1^INT(RIGHT(t_B2n6[[#Headers],[b1]],1))),$B$1)</f>
        <v>0</v>
      </c>
      <c r="J34" s="184">
        <f>MOD(INT(t_B2n6[[#This Row],[x]]/$B$1^INT(RIGHT(t_B2n6[[#Headers],[b0]],1))),$B$1)</f>
        <v>1</v>
      </c>
      <c r="L34" s="16"/>
    </row>
    <row r="35" spans="1:12" x14ac:dyDescent="0.25">
      <c r="A35" s="139">
        <v>30</v>
      </c>
      <c r="B35" s="19">
        <f>ROUNDUP(t_B2n6_Fixed[[#This Row],[Row]]-$B$3,0)</f>
        <v>-2</v>
      </c>
      <c r="C35" s="18">
        <f>t_B2n6[[#This Row],[x]]-D34</f>
        <v>1</v>
      </c>
      <c r="D35" s="14">
        <v>30</v>
      </c>
      <c r="E35" s="173">
        <f>MOD(INT(t_B2n6[[#This Row],[x]]/$B$1^INT(RIGHT(t_B2n6[[#Headers],[b5]],1))),$B$1)</f>
        <v>0</v>
      </c>
      <c r="F35" s="173">
        <f>MOD(INT(t_B2n6[[#This Row],[x]]/$B$1^INT(RIGHT(t_B2n6[[#Headers],[b4]],1))),$B$1)</f>
        <v>1</v>
      </c>
      <c r="G35" s="173">
        <f>MOD(INT(t_B2n6[[#This Row],[x]]/$B$1^INT(RIGHT(t_B2n6[[#Headers],[b3]],1))),$B$1)</f>
        <v>1</v>
      </c>
      <c r="H35" s="173">
        <f>MOD(INT(t_B2n6[[#This Row],[x]]/$B$1^INT(RIGHT(t_B2n6[[#Headers],[b2]],1))),$B$1)</f>
        <v>1</v>
      </c>
      <c r="I35" s="173">
        <f>MOD(INT(t_B2n6[[#This Row],[x]]/$B$1^INT(RIGHT(t_B2n6[[#Headers],[b1]],1))),$B$1)</f>
        <v>1</v>
      </c>
      <c r="J35" s="173">
        <f>MOD(INT(t_B2n6[[#This Row],[x]]/$B$1^INT(RIGHT(t_B2n6[[#Headers],[b0]],1))),$B$1)</f>
        <v>0</v>
      </c>
      <c r="L35" s="16"/>
    </row>
    <row r="36" spans="1:12" ht="15.75" thickBot="1" x14ac:dyDescent="0.3">
      <c r="A36" s="6">
        <v>31</v>
      </c>
      <c r="B36" s="6">
        <f>ROUNDUP(t_B2n6_Fixed[[#This Row],[Row]]-$B$3,0)</f>
        <v>-1</v>
      </c>
      <c r="C36" s="199">
        <f>t_B2n6[[#This Row],[x]]-D35</f>
        <v>1</v>
      </c>
      <c r="D36" s="21">
        <v>31</v>
      </c>
      <c r="E36" s="172">
        <f>MOD(INT(t_B2n6[[#This Row],[x]]/$B$1^INT(RIGHT(t_B2n6[[#Headers],[b5]],1))),$B$1)</f>
        <v>0</v>
      </c>
      <c r="F36" s="172">
        <f>MOD(INT(t_B2n6[[#This Row],[x]]/$B$1^INT(RIGHT(t_B2n6[[#Headers],[b4]],1))),$B$1)</f>
        <v>1</v>
      </c>
      <c r="G36" s="166">
        <f>MOD(INT(t_B2n6[[#This Row],[x]]/$B$1^INT(RIGHT(t_B2n6[[#Headers],[b3]],1))),$B$1)</f>
        <v>1</v>
      </c>
      <c r="H36" s="172">
        <f>MOD(INT(t_B2n6[[#This Row],[x]]/$B$1^INT(RIGHT(t_B2n6[[#Headers],[b2]],1))),$B$1)</f>
        <v>1</v>
      </c>
      <c r="I36" s="172">
        <f>MOD(INT(t_B2n6[[#This Row],[x]]/$B$1^INT(RIGHT(t_B2n6[[#Headers],[b1]],1))),$B$1)</f>
        <v>1</v>
      </c>
      <c r="J36" s="166">
        <f>MOD(INT(t_B2n6[[#This Row],[x]]/$B$1^INT(RIGHT(t_B2n6[[#Headers],[b0]],1))),$B$1)</f>
        <v>1</v>
      </c>
      <c r="K36" s="25" t="s">
        <v>0</v>
      </c>
      <c r="L36" s="16"/>
    </row>
    <row r="37" spans="1:12" x14ac:dyDescent="0.25">
      <c r="A37" s="139">
        <v>32</v>
      </c>
      <c r="B37" s="19">
        <f>ROUNDUP(t_B2n6_Fixed[[#This Row],[Row]]-$B$3,0)</f>
        <v>1</v>
      </c>
      <c r="C37" s="18">
        <f>t_B2n6[[#This Row],[x]]-D36</f>
        <v>1</v>
      </c>
      <c r="D37" s="14">
        <v>32</v>
      </c>
      <c r="E37" s="42">
        <f>MOD(INT(t_B2n6[[#This Row],[x]]/$B$1^INT(RIGHT(t_B2n6[[#Headers],[b5]],1))),$B$1)</f>
        <v>1</v>
      </c>
      <c r="F37" s="42">
        <f>MOD(INT(t_B2n6[[#This Row],[x]]/$B$1^INT(RIGHT(t_B2n6[[#Headers],[b4]],1))),$B$1)</f>
        <v>0</v>
      </c>
      <c r="G37" s="43">
        <f>MOD(INT(t_B2n6[[#This Row],[x]]/$B$1^INT(RIGHT(t_B2n6[[#Headers],[b3]],1))),$B$1)</f>
        <v>0</v>
      </c>
      <c r="H37" s="42">
        <f>MOD(INT(t_B2n6[[#This Row],[x]]/$B$1^INT(RIGHT(t_B2n6[[#Headers],[b2]],1))),$B$1)</f>
        <v>0</v>
      </c>
      <c r="I37" s="42">
        <f>MOD(INT(t_B2n6[[#This Row],[x]]/$B$1^INT(RIGHT(t_B2n6[[#Headers],[b1]],1))),$B$1)</f>
        <v>0</v>
      </c>
      <c r="J37" s="43">
        <f>MOD(INT(t_B2n6[[#This Row],[x]]/$B$1^INT(RIGHT(t_B2n6[[#Headers],[b0]],1))),$B$1)</f>
        <v>0</v>
      </c>
    </row>
    <row r="38" spans="1:12" x14ac:dyDescent="0.25">
      <c r="A38" s="139">
        <v>33</v>
      </c>
      <c r="B38" s="19">
        <f>ROUNDUP(t_B2n6_Fixed[[#This Row],[Row]]-$B$3,0)</f>
        <v>2</v>
      </c>
      <c r="C38" s="18">
        <f>t_B2n6[[#This Row],[x]]-D37</f>
        <v>1</v>
      </c>
      <c r="D38" s="14">
        <v>33</v>
      </c>
      <c r="E38" s="44">
        <f>MOD(INT(t_B2n6[[#This Row],[x]]/$B$1^INT(RIGHT(t_B2n6[[#Headers],[b5]],1))),$B$1)</f>
        <v>1</v>
      </c>
      <c r="F38" s="44">
        <f>MOD(INT(t_B2n6[[#This Row],[x]]/$B$1^INT(RIGHT(t_B2n6[[#Headers],[b4]],1))),$B$1)</f>
        <v>0</v>
      </c>
      <c r="G38" s="45">
        <f>MOD(INT(t_B2n6[[#This Row],[x]]/$B$1^INT(RIGHT(t_B2n6[[#Headers],[b3]],1))),$B$1)</f>
        <v>0</v>
      </c>
      <c r="H38" s="44">
        <f>MOD(INT(t_B2n6[[#This Row],[x]]/$B$1^INT(RIGHT(t_B2n6[[#Headers],[b2]],1))),$B$1)</f>
        <v>0</v>
      </c>
      <c r="I38" s="44">
        <f>MOD(INT(t_B2n6[[#This Row],[x]]/$B$1^INT(RIGHT(t_B2n6[[#Headers],[b1]],1))),$B$1)</f>
        <v>0</v>
      </c>
      <c r="J38" s="45">
        <f>MOD(INT(t_B2n6[[#This Row],[x]]/$B$1^INT(RIGHT(t_B2n6[[#Headers],[b0]],1))),$B$1)</f>
        <v>1</v>
      </c>
    </row>
    <row r="39" spans="1:12" x14ac:dyDescent="0.25">
      <c r="A39" s="139">
        <v>34</v>
      </c>
      <c r="B39" s="19">
        <f>ROUNDUP(t_B2n6_Fixed[[#This Row],[Row]]-$B$3,0)</f>
        <v>3</v>
      </c>
      <c r="C39" s="18">
        <f>t_B2n6[[#This Row],[x]]-D38</f>
        <v>1</v>
      </c>
      <c r="D39" s="14">
        <v>34</v>
      </c>
      <c r="E39" s="175">
        <f>MOD(INT(t_B2n6[[#This Row],[x]]/$B$1^INT(RIGHT(t_B2n6[[#Headers],[b5]],1))),$B$1)</f>
        <v>1</v>
      </c>
      <c r="F39" s="175">
        <f>MOD(INT(t_B2n6[[#This Row],[x]]/$B$1^INT(RIGHT(t_B2n6[[#Headers],[b4]],1))),$B$1)</f>
        <v>0</v>
      </c>
      <c r="G39" s="167">
        <f>MOD(INT(t_B2n6[[#This Row],[x]]/$B$1^INT(RIGHT(t_B2n6[[#Headers],[b3]],1))),$B$1)</f>
        <v>0</v>
      </c>
      <c r="H39" s="175">
        <f>MOD(INT(t_B2n6[[#This Row],[x]]/$B$1^INT(RIGHT(t_B2n6[[#Headers],[b2]],1))),$B$1)</f>
        <v>0</v>
      </c>
      <c r="I39" s="175">
        <f>MOD(INT(t_B2n6[[#This Row],[x]]/$B$1^INT(RIGHT(t_B2n6[[#Headers],[b1]],1))),$B$1)</f>
        <v>1</v>
      </c>
      <c r="J39" s="167">
        <f>MOD(INT(t_B2n6[[#This Row],[x]]/$B$1^INT(RIGHT(t_B2n6[[#Headers],[b0]],1))),$B$1)</f>
        <v>0</v>
      </c>
    </row>
    <row r="40" spans="1:12" x14ac:dyDescent="0.25">
      <c r="A40" s="139">
        <v>35</v>
      </c>
      <c r="B40" s="19">
        <f>ROUNDUP(t_B2n6_Fixed[[#This Row],[Row]]-$B$3,0)</f>
        <v>4</v>
      </c>
      <c r="C40" s="18">
        <f>t_B2n6[[#This Row],[x]]-D39</f>
        <v>1</v>
      </c>
      <c r="D40" s="14">
        <v>35</v>
      </c>
      <c r="E40" s="176">
        <f>MOD(INT(t_B2n6[[#This Row],[x]]/$B$1^INT(RIGHT(t_B2n6[[#Headers],[b5]],1))),$B$1)</f>
        <v>1</v>
      </c>
      <c r="F40" s="176">
        <f>MOD(INT(t_B2n6[[#This Row],[x]]/$B$1^INT(RIGHT(t_B2n6[[#Headers],[b4]],1))),$B$1)</f>
        <v>0</v>
      </c>
      <c r="G40" s="177">
        <f>MOD(INT(t_B2n6[[#This Row],[x]]/$B$1^INT(RIGHT(t_B2n6[[#Headers],[b3]],1))),$B$1)</f>
        <v>0</v>
      </c>
      <c r="H40" s="176">
        <f>MOD(INT(t_B2n6[[#This Row],[x]]/$B$1^INT(RIGHT(t_B2n6[[#Headers],[b2]],1))),$B$1)</f>
        <v>0</v>
      </c>
      <c r="I40" s="176">
        <f>MOD(INT(t_B2n6[[#This Row],[x]]/$B$1^INT(RIGHT(t_B2n6[[#Headers],[b1]],1))),$B$1)</f>
        <v>1</v>
      </c>
      <c r="J40" s="177">
        <f>MOD(INT(t_B2n6[[#This Row],[x]]/$B$1^INT(RIGHT(t_B2n6[[#Headers],[b0]],1))),$B$1)</f>
        <v>1</v>
      </c>
    </row>
    <row r="41" spans="1:12" x14ac:dyDescent="0.25">
      <c r="A41" s="139">
        <v>36</v>
      </c>
      <c r="B41" s="19">
        <f>ROUNDUP(t_B2n6_Fixed[[#This Row],[Row]]-$B$3,0)</f>
        <v>5</v>
      </c>
      <c r="C41" s="18">
        <f>t_B2n6[[#This Row],[x]]-D40</f>
        <v>1</v>
      </c>
      <c r="D41" s="14">
        <v>36</v>
      </c>
      <c r="E41" s="50">
        <f>MOD(INT(t_B2n6[[#This Row],[x]]/$B$1^INT(RIGHT(t_B2n6[[#Headers],[b5]],1))),$B$1)</f>
        <v>1</v>
      </c>
      <c r="F41" s="50">
        <f>MOD(INT(t_B2n6[[#This Row],[x]]/$B$1^INT(RIGHT(t_B2n6[[#Headers],[b4]],1))),$B$1)</f>
        <v>0</v>
      </c>
      <c r="G41" s="51">
        <f>MOD(INT(t_B2n6[[#This Row],[x]]/$B$1^INT(RIGHT(t_B2n6[[#Headers],[b3]],1))),$B$1)</f>
        <v>0</v>
      </c>
      <c r="H41" s="50">
        <f>MOD(INT(t_B2n6[[#This Row],[x]]/$B$1^INT(RIGHT(t_B2n6[[#Headers],[b2]],1))),$B$1)</f>
        <v>1</v>
      </c>
      <c r="I41" s="50">
        <f>MOD(INT(t_B2n6[[#This Row],[x]]/$B$1^INT(RIGHT(t_B2n6[[#Headers],[b1]],1))),$B$1)</f>
        <v>0</v>
      </c>
      <c r="J41" s="51">
        <f>MOD(INT(t_B2n6[[#This Row],[x]]/$B$1^INT(RIGHT(t_B2n6[[#Headers],[b0]],1))),$B$1)</f>
        <v>0</v>
      </c>
      <c r="K41" s="16"/>
    </row>
    <row r="42" spans="1:12" x14ac:dyDescent="0.25">
      <c r="A42" s="139">
        <v>37</v>
      </c>
      <c r="B42" s="19">
        <f>ROUNDUP(t_B2n6_Fixed[[#This Row],[Row]]-$B$3,0)</f>
        <v>6</v>
      </c>
      <c r="C42" s="18">
        <f>t_B2n6[[#This Row],[x]]-D41</f>
        <v>1</v>
      </c>
      <c r="D42" s="14">
        <v>37</v>
      </c>
      <c r="E42" s="83">
        <f>MOD(INT(t_B2n6[[#This Row],[x]]/$B$1^INT(RIGHT(t_B2n6[[#Headers],[b5]],1))),$B$1)</f>
        <v>1</v>
      </c>
      <c r="F42" s="83">
        <f>MOD(INT(t_B2n6[[#This Row],[x]]/$B$1^INT(RIGHT(t_B2n6[[#Headers],[b4]],1))),$B$1)</f>
        <v>0</v>
      </c>
      <c r="G42" s="83">
        <f>MOD(INT(t_B2n6[[#This Row],[x]]/$B$1^INT(RIGHT(t_B2n6[[#Headers],[b3]],1))),$B$1)</f>
        <v>0</v>
      </c>
      <c r="H42" s="83">
        <f>MOD(INT(t_B2n6[[#This Row],[x]]/$B$1^INT(RIGHT(t_B2n6[[#Headers],[b2]],1))),$B$1)</f>
        <v>1</v>
      </c>
      <c r="I42" s="83">
        <f>MOD(INT(t_B2n6[[#This Row],[x]]/$B$1^INT(RIGHT(t_B2n6[[#Headers],[b1]],1))),$B$1)</f>
        <v>0</v>
      </c>
      <c r="J42" s="83">
        <f>MOD(INT(t_B2n6[[#This Row],[x]]/$B$1^INT(RIGHT(t_B2n6[[#Headers],[b0]],1))),$B$1)</f>
        <v>1</v>
      </c>
      <c r="K42" s="16"/>
    </row>
    <row r="43" spans="1:12" x14ac:dyDescent="0.25">
      <c r="A43" s="139">
        <v>38</v>
      </c>
      <c r="B43" s="19">
        <f>ROUNDUP(t_B2n6_Fixed[[#This Row],[Row]]-$B$3,0)</f>
        <v>7</v>
      </c>
      <c r="C43" s="18">
        <f>t_B2n6[[#This Row],[x]]-D42</f>
        <v>1</v>
      </c>
      <c r="D43" s="14">
        <v>38</v>
      </c>
      <c r="E43" s="62">
        <f>MOD(INT(t_B2n6[[#This Row],[x]]/$B$1^INT(RIGHT(t_B2n6[[#Headers],[b5]],1))),$B$1)</f>
        <v>1</v>
      </c>
      <c r="F43" s="62">
        <f>MOD(INT(t_B2n6[[#This Row],[x]]/$B$1^INT(RIGHT(t_B2n6[[#Headers],[b4]],1))),$B$1)</f>
        <v>0</v>
      </c>
      <c r="G43" s="62">
        <f>MOD(INT(t_B2n6[[#This Row],[x]]/$B$1^INT(RIGHT(t_B2n6[[#Headers],[b3]],1))),$B$1)</f>
        <v>0</v>
      </c>
      <c r="H43" s="62">
        <f>MOD(INT(t_B2n6[[#This Row],[x]]/$B$1^INT(RIGHT(t_B2n6[[#Headers],[b2]],1))),$B$1)</f>
        <v>1</v>
      </c>
      <c r="I43" s="62">
        <f>MOD(INT(t_B2n6[[#This Row],[x]]/$B$1^INT(RIGHT(t_B2n6[[#Headers],[b1]],1))),$B$1)</f>
        <v>1</v>
      </c>
      <c r="J43" s="62">
        <f>MOD(INT(t_B2n6[[#This Row],[x]]/$B$1^INT(RIGHT(t_B2n6[[#Headers],[b0]],1))),$B$1)</f>
        <v>0</v>
      </c>
      <c r="K43" s="16"/>
    </row>
    <row r="44" spans="1:12" x14ac:dyDescent="0.25">
      <c r="A44" s="139">
        <v>39</v>
      </c>
      <c r="B44" s="19">
        <f>ROUNDUP(t_B2n6_Fixed[[#This Row],[Row]]-$B$3,0)</f>
        <v>8</v>
      </c>
      <c r="C44" s="18">
        <f>t_B2n6[[#This Row],[x]]-D43</f>
        <v>1</v>
      </c>
      <c r="D44" s="14">
        <v>39</v>
      </c>
      <c r="E44" s="173">
        <f>MOD(INT(t_B2n6[[#This Row],[x]]/$B$1^INT(RIGHT(t_B2n6[[#Headers],[b5]],1))),$B$1)</f>
        <v>1</v>
      </c>
      <c r="F44" s="173">
        <f>MOD(INT(t_B2n6[[#This Row],[x]]/$B$1^INT(RIGHT(t_B2n6[[#Headers],[b4]],1))),$B$1)</f>
        <v>0</v>
      </c>
      <c r="G44" s="174">
        <f>MOD(INT(t_B2n6[[#This Row],[x]]/$B$1^INT(RIGHT(t_B2n6[[#Headers],[b3]],1))),$B$1)</f>
        <v>0</v>
      </c>
      <c r="H44" s="174">
        <f>MOD(INT(t_B2n6[[#This Row],[x]]/$B$1^INT(RIGHT(t_B2n6[[#Headers],[b2]],1))),$B$1)</f>
        <v>1</v>
      </c>
      <c r="I44" s="174">
        <f>MOD(INT(t_B2n6[[#This Row],[x]]/$B$1^INT(RIGHT(t_B2n6[[#Headers],[b1]],1))),$B$1)</f>
        <v>1</v>
      </c>
      <c r="J44" s="174">
        <f>MOD(INT(t_B2n6[[#This Row],[x]]/$B$1^INT(RIGHT(t_B2n6[[#Headers],[b0]],1))),$B$1)</f>
        <v>1</v>
      </c>
      <c r="K44" s="16"/>
    </row>
    <row r="45" spans="1:12" x14ac:dyDescent="0.25">
      <c r="A45" s="139">
        <v>40</v>
      </c>
      <c r="B45" s="19">
        <f>ROUNDUP(t_B2n6_Fixed[[#This Row],[Row]]-$B$3,0)</f>
        <v>9</v>
      </c>
      <c r="C45" s="18">
        <f>t_B2n6[[#This Row],[x]]-D44</f>
        <v>1</v>
      </c>
      <c r="D45" s="14">
        <v>40</v>
      </c>
      <c r="E45" s="175">
        <f>MOD(INT(t_B2n6[[#This Row],[x]]/$B$1^INT(RIGHT(t_B2n6[[#Headers],[b5]],1))),$B$1)</f>
        <v>1</v>
      </c>
      <c r="F45" s="175">
        <f>MOD(INT(t_B2n6[[#This Row],[x]]/$B$1^INT(RIGHT(t_B2n6[[#Headers],[b4]],1))),$B$1)</f>
        <v>0</v>
      </c>
      <c r="G45" s="167">
        <f>MOD(INT(t_B2n6[[#This Row],[x]]/$B$1^INT(RIGHT(t_B2n6[[#Headers],[b3]],1))),$B$1)</f>
        <v>1</v>
      </c>
      <c r="H45" s="175">
        <f>MOD(INT(t_B2n6[[#This Row],[x]]/$B$1^INT(RIGHT(t_B2n6[[#Headers],[b2]],1))),$B$1)</f>
        <v>0</v>
      </c>
      <c r="I45" s="175">
        <f>MOD(INT(t_B2n6[[#This Row],[x]]/$B$1^INT(RIGHT(t_B2n6[[#Headers],[b1]],1))),$B$1)</f>
        <v>0</v>
      </c>
      <c r="J45" s="167">
        <f>MOD(INT(t_B2n6[[#This Row],[x]]/$B$1^INT(RIGHT(t_B2n6[[#Headers],[b0]],1))),$B$1)</f>
        <v>0</v>
      </c>
      <c r="K45" s="16"/>
    </row>
    <row r="46" spans="1:12" x14ac:dyDescent="0.25">
      <c r="A46" s="139">
        <v>41</v>
      </c>
      <c r="B46" s="19">
        <f>ROUNDUP(t_B2n6_Fixed[[#This Row],[Row]]-$B$3,0)</f>
        <v>10</v>
      </c>
      <c r="C46" s="18">
        <f>t_B2n6[[#This Row],[x]]-D45</f>
        <v>1</v>
      </c>
      <c r="D46" s="14">
        <v>41</v>
      </c>
      <c r="E46" s="62">
        <f>MOD(INT(t_B2n6[[#This Row],[x]]/$B$1^INT(RIGHT(t_B2n6[[#Headers],[b5]],1))),$B$1)</f>
        <v>1</v>
      </c>
      <c r="F46" s="62">
        <f>MOD(INT(t_B2n6[[#This Row],[x]]/$B$1^INT(RIGHT(t_B2n6[[#Headers],[b4]],1))),$B$1)</f>
        <v>0</v>
      </c>
      <c r="G46" s="63">
        <f>MOD(INT(t_B2n6[[#This Row],[x]]/$B$1^INT(RIGHT(t_B2n6[[#Headers],[b3]],1))),$B$1)</f>
        <v>1</v>
      </c>
      <c r="H46" s="62">
        <f>MOD(INT(t_B2n6[[#This Row],[x]]/$B$1^INT(RIGHT(t_B2n6[[#Headers],[b2]],1))),$B$1)</f>
        <v>0</v>
      </c>
      <c r="I46" s="62">
        <f>MOD(INT(t_B2n6[[#This Row],[x]]/$B$1^INT(RIGHT(t_B2n6[[#Headers],[b1]],1))),$B$1)</f>
        <v>0</v>
      </c>
      <c r="J46" s="63">
        <f>MOD(INT(t_B2n6[[#This Row],[x]]/$B$1^INT(RIGHT(t_B2n6[[#Headers],[b0]],1))),$B$1)</f>
        <v>1</v>
      </c>
      <c r="K46" s="16"/>
    </row>
    <row r="47" spans="1:12" x14ac:dyDescent="0.25">
      <c r="A47" s="139">
        <v>42</v>
      </c>
      <c r="B47" s="19">
        <f>ROUNDUP(t_B2n6_Fixed[[#This Row],[Row]]-$B$3,0)</f>
        <v>11</v>
      </c>
      <c r="C47" s="18">
        <f>t_B2n6[[#This Row],[x]]-D46</f>
        <v>1</v>
      </c>
      <c r="D47" s="14">
        <v>42</v>
      </c>
      <c r="E47" s="40">
        <f>MOD(INT(t_B2n6[[#This Row],[x]]/$B$1^INT(RIGHT(t_B2n6[[#Headers],[b5]],1))),$B$1)</f>
        <v>1</v>
      </c>
      <c r="F47" s="40">
        <f>MOD(INT(t_B2n6[[#This Row],[x]]/$B$1^INT(RIGHT(t_B2n6[[#Headers],[b4]],1))),$B$1)</f>
        <v>0</v>
      </c>
      <c r="G47" s="41">
        <f>MOD(INT(t_B2n6[[#This Row],[x]]/$B$1^INT(RIGHT(t_B2n6[[#Headers],[b3]],1))),$B$1)</f>
        <v>1</v>
      </c>
      <c r="H47" s="40">
        <f>MOD(INT(t_B2n6[[#This Row],[x]]/$B$1^INT(RIGHT(t_B2n6[[#Headers],[b2]],1))),$B$1)</f>
        <v>0</v>
      </c>
      <c r="I47" s="40">
        <f>MOD(INT(t_B2n6[[#This Row],[x]]/$B$1^INT(RIGHT(t_B2n6[[#Headers],[b1]],1))),$B$1)</f>
        <v>1</v>
      </c>
      <c r="J47" s="41">
        <f>MOD(INT(t_B2n6[[#This Row],[x]]/$B$1^INT(RIGHT(t_B2n6[[#Headers],[b0]],1))),$B$1)</f>
        <v>0</v>
      </c>
      <c r="K47" s="16"/>
    </row>
    <row r="48" spans="1:12" x14ac:dyDescent="0.25">
      <c r="A48" s="139">
        <v>43</v>
      </c>
      <c r="B48" s="19">
        <f>ROUNDUP(t_B2n6_Fixed[[#This Row],[Row]]-$B$3,0)</f>
        <v>12</v>
      </c>
      <c r="C48" s="18">
        <f>t_B2n6[[#This Row],[x]]-D47</f>
        <v>1</v>
      </c>
      <c r="D48" s="14">
        <v>43</v>
      </c>
      <c r="E48" s="185">
        <f>MOD(INT(t_B2n6[[#This Row],[x]]/$B$1^INT(RIGHT(t_B2n6[[#Headers],[b5]],1))),$B$1)</f>
        <v>1</v>
      </c>
      <c r="F48" s="185">
        <f>MOD(INT(t_B2n6[[#This Row],[x]]/$B$1^INT(RIGHT(t_B2n6[[#Headers],[b4]],1))),$B$1)</f>
        <v>0</v>
      </c>
      <c r="G48" s="184">
        <f>MOD(INT(t_B2n6[[#This Row],[x]]/$B$1^INT(RIGHT(t_B2n6[[#Headers],[b3]],1))),$B$1)</f>
        <v>1</v>
      </c>
      <c r="H48" s="185">
        <f>MOD(INT(t_B2n6[[#This Row],[x]]/$B$1^INT(RIGHT(t_B2n6[[#Headers],[b2]],1))),$B$1)</f>
        <v>0</v>
      </c>
      <c r="I48" s="185">
        <f>MOD(INT(t_B2n6[[#This Row],[x]]/$B$1^INT(RIGHT(t_B2n6[[#Headers],[b1]],1))),$B$1)</f>
        <v>1</v>
      </c>
      <c r="J48" s="184">
        <f>MOD(INT(t_B2n6[[#This Row],[x]]/$B$1^INT(RIGHT(t_B2n6[[#Headers],[b0]],1))),$B$1)</f>
        <v>1</v>
      </c>
      <c r="K48" s="16"/>
    </row>
    <row r="49" spans="1:11" x14ac:dyDescent="0.25">
      <c r="A49" s="139">
        <v>44</v>
      </c>
      <c r="B49" s="19">
        <f>ROUNDUP(t_B2n6_Fixed[[#This Row],[Row]]-$B$3,0)</f>
        <v>13</v>
      </c>
      <c r="C49" s="18">
        <f>t_B2n6[[#This Row],[x]]-D48</f>
        <v>1</v>
      </c>
      <c r="D49" s="14">
        <v>44</v>
      </c>
      <c r="E49" s="83">
        <f>MOD(INT(t_B2n6[[#This Row],[x]]/$B$1^INT(RIGHT(t_B2n6[[#Headers],[b5]],1))),$B$1)</f>
        <v>1</v>
      </c>
      <c r="F49" s="83">
        <f>MOD(INT(t_B2n6[[#This Row],[x]]/$B$1^INT(RIGHT(t_B2n6[[#Headers],[b4]],1))),$B$1)</f>
        <v>0</v>
      </c>
      <c r="G49" s="84">
        <f>MOD(INT(t_B2n6[[#This Row],[x]]/$B$1^INT(RIGHT(t_B2n6[[#Headers],[b3]],1))),$B$1)</f>
        <v>1</v>
      </c>
      <c r="H49" s="83">
        <f>MOD(INT(t_B2n6[[#This Row],[x]]/$B$1^INT(RIGHT(t_B2n6[[#Headers],[b2]],1))),$B$1)</f>
        <v>1</v>
      </c>
      <c r="I49" s="83">
        <f>MOD(INT(t_B2n6[[#This Row],[x]]/$B$1^INT(RIGHT(t_B2n6[[#Headers],[b1]],1))),$B$1)</f>
        <v>0</v>
      </c>
      <c r="J49" s="84">
        <f>MOD(INT(t_B2n6[[#This Row],[x]]/$B$1^INT(RIGHT(t_B2n6[[#Headers],[b0]],1))),$B$1)</f>
        <v>0</v>
      </c>
      <c r="K49" s="16"/>
    </row>
    <row r="50" spans="1:11" x14ac:dyDescent="0.25">
      <c r="A50" s="139">
        <v>45</v>
      </c>
      <c r="B50" s="19">
        <f>ROUNDUP(t_B2n6_Fixed[[#This Row],[Row]]-$B$3,0)</f>
        <v>14</v>
      </c>
      <c r="C50" s="18">
        <f>t_B2n6[[#This Row],[x]]-D49</f>
        <v>1</v>
      </c>
      <c r="D50" s="14">
        <v>45</v>
      </c>
      <c r="E50" s="60">
        <f>MOD(INT(t_B2n6[[#This Row],[x]]/$B$1^INT(RIGHT(t_B2n6[[#Headers],[b5]],1))),$B$1)</f>
        <v>1</v>
      </c>
      <c r="F50" s="60">
        <f>MOD(INT(t_B2n6[[#This Row],[x]]/$B$1^INT(RIGHT(t_B2n6[[#Headers],[b4]],1))),$B$1)</f>
        <v>0</v>
      </c>
      <c r="G50" s="60">
        <f>MOD(INT(t_B2n6[[#This Row],[x]]/$B$1^INT(RIGHT(t_B2n6[[#Headers],[b3]],1))),$B$1)</f>
        <v>1</v>
      </c>
      <c r="H50" s="60">
        <f>MOD(INT(t_B2n6[[#This Row],[x]]/$B$1^INT(RIGHT(t_B2n6[[#Headers],[b2]],1))),$B$1)</f>
        <v>1</v>
      </c>
      <c r="I50" s="60">
        <f>MOD(INT(t_B2n6[[#This Row],[x]]/$B$1^INT(RIGHT(t_B2n6[[#Headers],[b1]],1))),$B$1)</f>
        <v>0</v>
      </c>
      <c r="J50" s="60">
        <f>MOD(INT(t_B2n6[[#This Row],[x]]/$B$1^INT(RIGHT(t_B2n6[[#Headers],[b0]],1))),$B$1)</f>
        <v>1</v>
      </c>
      <c r="K50" s="16"/>
    </row>
    <row r="51" spans="1:11" x14ac:dyDescent="0.25">
      <c r="A51" s="139">
        <v>46</v>
      </c>
      <c r="B51" s="19">
        <f>ROUNDUP(t_B2n6_Fixed[[#This Row],[Row]]-$B$3,0)</f>
        <v>15</v>
      </c>
      <c r="C51" s="18">
        <f>t_B2n6[[#This Row],[x]]-D50</f>
        <v>1</v>
      </c>
      <c r="D51" s="14">
        <v>46</v>
      </c>
      <c r="E51" s="185">
        <f>MOD(INT(t_B2n6[[#This Row],[x]]/$B$1^INT(RIGHT(t_B2n6[[#Headers],[b5]],1))),$B$1)</f>
        <v>1</v>
      </c>
      <c r="F51" s="185">
        <f>MOD(INT(t_B2n6[[#This Row],[x]]/$B$1^INT(RIGHT(t_B2n6[[#Headers],[b4]],1))),$B$1)</f>
        <v>0</v>
      </c>
      <c r="G51" s="184">
        <f>MOD(INT(t_B2n6[[#This Row],[x]]/$B$1^INT(RIGHT(t_B2n6[[#Headers],[b3]],1))),$B$1)</f>
        <v>1</v>
      </c>
      <c r="H51" s="185">
        <f>MOD(INT(t_B2n6[[#This Row],[x]]/$B$1^INT(RIGHT(t_B2n6[[#Headers],[b2]],1))),$B$1)</f>
        <v>1</v>
      </c>
      <c r="I51" s="185">
        <f>MOD(INT(t_B2n6[[#This Row],[x]]/$B$1^INT(RIGHT(t_B2n6[[#Headers],[b1]],1))),$B$1)</f>
        <v>1</v>
      </c>
      <c r="J51" s="184">
        <f>MOD(INT(t_B2n6[[#This Row],[x]]/$B$1^INT(RIGHT(t_B2n6[[#Headers],[b0]],1))),$B$1)</f>
        <v>0</v>
      </c>
      <c r="K51" s="16"/>
    </row>
    <row r="52" spans="1:11" x14ac:dyDescent="0.25">
      <c r="A52" s="139">
        <v>47</v>
      </c>
      <c r="B52" s="19">
        <f>ROUNDUP(t_B2n6_Fixed[[#This Row],[Row]]-$B$3,0)</f>
        <v>16</v>
      </c>
      <c r="C52" s="18">
        <f>t_B2n6[[#This Row],[x]]-D51</f>
        <v>1</v>
      </c>
      <c r="D52" s="14">
        <v>47</v>
      </c>
      <c r="E52" s="54">
        <f>MOD(INT(t_B2n6[[#This Row],[x]]/$B$1^INT(RIGHT(t_B2n6[[#Headers],[b5]],1))),$B$1)</f>
        <v>1</v>
      </c>
      <c r="F52" s="54">
        <f>MOD(INT(t_B2n6[[#This Row],[x]]/$B$1^INT(RIGHT(t_B2n6[[#Headers],[b4]],1))),$B$1)</f>
        <v>0</v>
      </c>
      <c r="G52" s="55">
        <f>MOD(INT(t_B2n6[[#This Row],[x]]/$B$1^INT(RIGHT(t_B2n6[[#Headers],[b3]],1))),$B$1)</f>
        <v>1</v>
      </c>
      <c r="H52" s="54">
        <f>MOD(INT(t_B2n6[[#This Row],[x]]/$B$1^INT(RIGHT(t_B2n6[[#Headers],[b2]],1))),$B$1)</f>
        <v>1</v>
      </c>
      <c r="I52" s="54">
        <f>MOD(INT(t_B2n6[[#This Row],[x]]/$B$1^INT(RIGHT(t_B2n6[[#Headers],[b1]],1))),$B$1)</f>
        <v>1</v>
      </c>
      <c r="J52" s="55">
        <f>MOD(INT(t_B2n6[[#This Row],[x]]/$B$1^INT(RIGHT(t_B2n6[[#Headers],[b0]],1))),$B$1)</f>
        <v>1</v>
      </c>
      <c r="K52" s="16"/>
    </row>
    <row r="53" spans="1:11" x14ac:dyDescent="0.25">
      <c r="A53" s="139">
        <v>48</v>
      </c>
      <c r="B53" s="19">
        <f>ROUNDUP(t_B2n6_Fixed[[#This Row],[Row]]-$B$3,0)</f>
        <v>17</v>
      </c>
      <c r="C53" s="18">
        <f>t_B2n6[[#This Row],[x]]-D52</f>
        <v>1</v>
      </c>
      <c r="D53" s="14">
        <v>48</v>
      </c>
      <c r="E53" s="44">
        <f>MOD(INT(t_B2n6[[#This Row],[x]]/$B$1^INT(RIGHT(t_B2n6[[#Headers],[b5]],1))),$B$1)</f>
        <v>1</v>
      </c>
      <c r="F53" s="44">
        <f>MOD(INT(t_B2n6[[#This Row],[x]]/$B$1^INT(RIGHT(t_B2n6[[#Headers],[b4]],1))),$B$1)</f>
        <v>1</v>
      </c>
      <c r="G53" s="45">
        <f>MOD(INT(t_B2n6[[#This Row],[x]]/$B$1^INT(RIGHT(t_B2n6[[#Headers],[b3]],1))),$B$1)</f>
        <v>0</v>
      </c>
      <c r="H53" s="44">
        <f>MOD(INT(t_B2n6[[#This Row],[x]]/$B$1^INT(RIGHT(t_B2n6[[#Headers],[b2]],1))),$B$1)</f>
        <v>0</v>
      </c>
      <c r="I53" s="44">
        <f>MOD(INT(t_B2n6[[#This Row],[x]]/$B$1^INT(RIGHT(t_B2n6[[#Headers],[b1]],1))),$B$1)</f>
        <v>0</v>
      </c>
      <c r="J53" s="45">
        <f>MOD(INT(t_B2n6[[#This Row],[x]]/$B$1^INT(RIGHT(t_B2n6[[#Headers],[b0]],1))),$B$1)</f>
        <v>0</v>
      </c>
      <c r="K53" s="16"/>
    </row>
    <row r="54" spans="1:11" x14ac:dyDescent="0.25">
      <c r="A54" s="139">
        <v>49</v>
      </c>
      <c r="B54" s="19">
        <f>ROUNDUP(t_B2n6_Fixed[[#This Row],[Row]]-$B$3,0)</f>
        <v>18</v>
      </c>
      <c r="C54" s="18">
        <f>t_B2n6[[#This Row],[x]]-D53</f>
        <v>1</v>
      </c>
      <c r="D54" s="14">
        <v>49</v>
      </c>
      <c r="E54" s="176">
        <f>MOD(INT(t_B2n6[[#This Row],[x]]/$B$1^INT(RIGHT(t_B2n6[[#Headers],[b5]],1))),$B$1)</f>
        <v>1</v>
      </c>
      <c r="F54" s="176">
        <f>MOD(INT(t_B2n6[[#This Row],[x]]/$B$1^INT(RIGHT(t_B2n6[[#Headers],[b4]],1))),$B$1)</f>
        <v>1</v>
      </c>
      <c r="G54" s="177">
        <f>MOD(INT(t_B2n6[[#This Row],[x]]/$B$1^INT(RIGHT(t_B2n6[[#Headers],[b3]],1))),$B$1)</f>
        <v>0</v>
      </c>
      <c r="H54" s="176">
        <f>MOD(INT(t_B2n6[[#This Row],[x]]/$B$1^INT(RIGHT(t_B2n6[[#Headers],[b2]],1))),$B$1)</f>
        <v>0</v>
      </c>
      <c r="I54" s="176">
        <f>MOD(INT(t_B2n6[[#This Row],[x]]/$B$1^INT(RIGHT(t_B2n6[[#Headers],[b1]],1))),$B$1)</f>
        <v>0</v>
      </c>
      <c r="J54" s="177">
        <f>MOD(INT(t_B2n6[[#This Row],[x]]/$B$1^INT(RIGHT(t_B2n6[[#Headers],[b0]],1))),$B$1)</f>
        <v>1</v>
      </c>
      <c r="K54" s="16"/>
    </row>
    <row r="55" spans="1:11" x14ac:dyDescent="0.25">
      <c r="A55" s="139">
        <v>50</v>
      </c>
      <c r="B55" s="19">
        <f>ROUNDUP(t_B2n6_Fixed[[#This Row],[Row]]-$B$3,0)</f>
        <v>19</v>
      </c>
      <c r="C55" s="18">
        <f>t_B2n6[[#This Row],[x]]-D54</f>
        <v>1</v>
      </c>
      <c r="D55" s="14">
        <v>50</v>
      </c>
      <c r="E55" s="83">
        <f>MOD(INT(t_B2n6[[#This Row],[x]]/$B$1^INT(RIGHT(t_B2n6[[#Headers],[b5]],1))),$B$1)</f>
        <v>1</v>
      </c>
      <c r="F55" s="83">
        <f>MOD(INT(t_B2n6[[#This Row],[x]]/$B$1^INT(RIGHT(t_B2n6[[#Headers],[b4]],1))),$B$1)</f>
        <v>1</v>
      </c>
      <c r="G55" s="84">
        <f>MOD(INT(t_B2n6[[#This Row],[x]]/$B$1^INT(RIGHT(t_B2n6[[#Headers],[b3]],1))),$B$1)</f>
        <v>0</v>
      </c>
      <c r="H55" s="83">
        <f>MOD(INT(t_B2n6[[#This Row],[x]]/$B$1^INT(RIGHT(t_B2n6[[#Headers],[b2]],1))),$B$1)</f>
        <v>0</v>
      </c>
      <c r="I55" s="83">
        <f>MOD(INT(t_B2n6[[#This Row],[x]]/$B$1^INT(RIGHT(t_B2n6[[#Headers],[b1]],1))),$B$1)</f>
        <v>1</v>
      </c>
      <c r="J55" s="84">
        <f>MOD(INT(t_B2n6[[#This Row],[x]]/$B$1^INT(RIGHT(t_B2n6[[#Headers],[b0]],1))),$B$1)</f>
        <v>0</v>
      </c>
      <c r="K55" s="16"/>
    </row>
    <row r="56" spans="1:11" x14ac:dyDescent="0.25">
      <c r="A56" s="139">
        <v>51</v>
      </c>
      <c r="B56" s="19">
        <f>ROUNDUP(t_B2n6_Fixed[[#This Row],[Row]]-$B$3,0)</f>
        <v>20</v>
      </c>
      <c r="C56" s="18">
        <f>t_B2n6[[#This Row],[x]]-D55</f>
        <v>1</v>
      </c>
      <c r="D56" s="14">
        <v>51</v>
      </c>
      <c r="E56" s="173">
        <f>MOD(INT(t_B2n6[[#This Row],[x]]/$B$1^INT(RIGHT(t_B2n6[[#Headers],[b5]],1))),$B$1)</f>
        <v>1</v>
      </c>
      <c r="F56" s="173">
        <f>MOD(INT(t_B2n6[[#This Row],[x]]/$B$1^INT(RIGHT(t_B2n6[[#Headers],[b4]],1))),$B$1)</f>
        <v>1</v>
      </c>
      <c r="G56" s="170">
        <f>MOD(INT(t_B2n6[[#This Row],[x]]/$B$1^INT(RIGHT(t_B2n6[[#Headers],[b3]],1))),$B$1)</f>
        <v>0</v>
      </c>
      <c r="H56" s="173">
        <f>MOD(INT(t_B2n6[[#This Row],[x]]/$B$1^INT(RIGHT(t_B2n6[[#Headers],[b2]],1))),$B$1)</f>
        <v>0</v>
      </c>
      <c r="I56" s="173">
        <f>MOD(INT(t_B2n6[[#This Row],[x]]/$B$1^INT(RIGHT(t_B2n6[[#Headers],[b1]],1))),$B$1)</f>
        <v>1</v>
      </c>
      <c r="J56" s="170">
        <f>MOD(INT(t_B2n6[[#This Row],[x]]/$B$1^INT(RIGHT(t_B2n6[[#Headers],[b0]],1))),$B$1)</f>
        <v>1</v>
      </c>
      <c r="K56" s="16"/>
    </row>
    <row r="57" spans="1:11" x14ac:dyDescent="0.25">
      <c r="A57" s="139">
        <v>52</v>
      </c>
      <c r="B57" s="19">
        <f>ROUNDUP(t_B2n6_Fixed[[#This Row],[Row]]-$B$3,0)</f>
        <v>21</v>
      </c>
      <c r="C57" s="18">
        <f>t_B2n6[[#This Row],[x]]-D56</f>
        <v>1</v>
      </c>
      <c r="D57" s="14">
        <v>52</v>
      </c>
      <c r="E57" s="62">
        <f>MOD(INT(t_B2n6[[#This Row],[x]]/$B$1^INT(RIGHT(t_B2n6[[#Headers],[b5]],1))),$B$1)</f>
        <v>1</v>
      </c>
      <c r="F57" s="62">
        <f>MOD(INT(t_B2n6[[#This Row],[x]]/$B$1^INT(RIGHT(t_B2n6[[#Headers],[b4]],1))),$B$1)</f>
        <v>1</v>
      </c>
      <c r="G57" s="63">
        <f>MOD(INT(t_B2n6[[#This Row],[x]]/$B$1^INT(RIGHT(t_B2n6[[#Headers],[b3]],1))),$B$1)</f>
        <v>0</v>
      </c>
      <c r="H57" s="62">
        <f>MOD(INT(t_B2n6[[#This Row],[x]]/$B$1^INT(RIGHT(t_B2n6[[#Headers],[b2]],1))),$B$1)</f>
        <v>1</v>
      </c>
      <c r="I57" s="62">
        <f>MOD(INT(t_B2n6[[#This Row],[x]]/$B$1^INT(RIGHT(t_B2n6[[#Headers],[b1]],1))),$B$1)</f>
        <v>0</v>
      </c>
      <c r="J57" s="63">
        <f>MOD(INT(t_B2n6[[#This Row],[x]]/$B$1^INT(RIGHT(t_B2n6[[#Headers],[b0]],1))),$B$1)</f>
        <v>0</v>
      </c>
      <c r="K57" s="16"/>
    </row>
    <row r="58" spans="1:11" x14ac:dyDescent="0.25">
      <c r="A58" s="139">
        <v>53</v>
      </c>
      <c r="B58" s="19">
        <f>ROUNDUP(t_B2n6_Fixed[[#This Row],[Row]]-$B$3,0)</f>
        <v>22</v>
      </c>
      <c r="C58" s="18">
        <f>t_B2n6[[#This Row],[x]]-D57</f>
        <v>1</v>
      </c>
      <c r="D58" s="14">
        <v>53</v>
      </c>
      <c r="E58" s="185">
        <f>MOD(INT(t_B2n6[[#This Row],[x]]/$B$1^INT(RIGHT(t_B2n6[[#Headers],[b5]],1))),$B$1)</f>
        <v>1</v>
      </c>
      <c r="F58" s="185">
        <f>MOD(INT(t_B2n6[[#This Row],[x]]/$B$1^INT(RIGHT(t_B2n6[[#Headers],[b4]],1))),$B$1)</f>
        <v>1</v>
      </c>
      <c r="G58" s="184">
        <f>MOD(INT(t_B2n6[[#This Row],[x]]/$B$1^INT(RIGHT(t_B2n6[[#Headers],[b3]],1))),$B$1)</f>
        <v>0</v>
      </c>
      <c r="H58" s="185">
        <f>MOD(INT(t_B2n6[[#This Row],[x]]/$B$1^INT(RIGHT(t_B2n6[[#Headers],[b2]],1))),$B$1)</f>
        <v>1</v>
      </c>
      <c r="I58" s="185">
        <f>MOD(INT(t_B2n6[[#This Row],[x]]/$B$1^INT(RIGHT(t_B2n6[[#Headers],[b1]],1))),$B$1)</f>
        <v>0</v>
      </c>
      <c r="J58" s="184">
        <f>MOD(INT(t_B2n6[[#This Row],[x]]/$B$1^INT(RIGHT(t_B2n6[[#Headers],[b0]],1))),$B$1)</f>
        <v>1</v>
      </c>
      <c r="K58" s="16"/>
    </row>
    <row r="59" spans="1:11" x14ac:dyDescent="0.25">
      <c r="A59" s="139">
        <v>54</v>
      </c>
      <c r="B59" s="19">
        <f>ROUNDUP(t_B2n6_Fixed[[#This Row],[Row]]-$B$3,0)</f>
        <v>23</v>
      </c>
      <c r="C59" s="18">
        <f>t_B2n6[[#This Row],[x]]-D58</f>
        <v>1</v>
      </c>
      <c r="D59" s="14">
        <v>54</v>
      </c>
      <c r="E59" s="60">
        <f>MOD(INT(t_B2n6[[#This Row],[x]]/$B$1^INT(RIGHT(t_B2n6[[#Headers],[b5]],1))),$B$1)</f>
        <v>1</v>
      </c>
      <c r="F59" s="60">
        <f>MOD(INT(t_B2n6[[#This Row],[x]]/$B$1^INT(RIGHT(t_B2n6[[#Headers],[b4]],1))),$B$1)</f>
        <v>1</v>
      </c>
      <c r="G59" s="178">
        <f>MOD(INT(t_B2n6[[#This Row],[x]]/$B$1^INT(RIGHT(t_B2n6[[#Headers],[b3]],1))),$B$1)</f>
        <v>0</v>
      </c>
      <c r="H59" s="178">
        <f>MOD(INT(t_B2n6[[#This Row],[x]]/$B$1^INT(RIGHT(t_B2n6[[#Headers],[b2]],1))),$B$1)</f>
        <v>1</v>
      </c>
      <c r="I59" s="178">
        <f>MOD(INT(t_B2n6[[#This Row],[x]]/$B$1^INT(RIGHT(t_B2n6[[#Headers],[b1]],1))),$B$1)</f>
        <v>1</v>
      </c>
      <c r="J59" s="178">
        <f>MOD(INT(t_B2n6[[#This Row],[x]]/$B$1^INT(RIGHT(t_B2n6[[#Headers],[b0]],1))),$B$1)</f>
        <v>0</v>
      </c>
      <c r="K59" s="16"/>
    </row>
    <row r="60" spans="1:11" x14ac:dyDescent="0.25">
      <c r="A60" s="139">
        <v>55</v>
      </c>
      <c r="B60" s="19">
        <f>ROUNDUP(t_B2n6_Fixed[[#This Row],[Row]]-$B$3,0)</f>
        <v>24</v>
      </c>
      <c r="C60" s="18">
        <f>t_B2n6[[#This Row],[x]]-D59</f>
        <v>1</v>
      </c>
      <c r="D60" s="14">
        <v>55</v>
      </c>
      <c r="E60" s="54">
        <f>MOD(INT(t_B2n6[[#This Row],[x]]/$B$1^INT(RIGHT(t_B2n6[[#Headers],[b5]],1))),$B$1)</f>
        <v>1</v>
      </c>
      <c r="F60" s="54">
        <f>MOD(INT(t_B2n6[[#This Row],[x]]/$B$1^INT(RIGHT(t_B2n6[[#Headers],[b4]],1))),$B$1)</f>
        <v>1</v>
      </c>
      <c r="G60" s="55">
        <f>MOD(INT(t_B2n6[[#This Row],[x]]/$B$1^INT(RIGHT(t_B2n6[[#Headers],[b3]],1))),$B$1)</f>
        <v>0</v>
      </c>
      <c r="H60" s="54">
        <f>MOD(INT(t_B2n6[[#This Row],[x]]/$B$1^INT(RIGHT(t_B2n6[[#Headers],[b2]],1))),$B$1)</f>
        <v>1</v>
      </c>
      <c r="I60" s="54">
        <f>MOD(INT(t_B2n6[[#This Row],[x]]/$B$1^INT(RIGHT(t_B2n6[[#Headers],[b1]],1))),$B$1)</f>
        <v>1</v>
      </c>
      <c r="J60" s="55">
        <f>MOD(INT(t_B2n6[[#This Row],[x]]/$B$1^INT(RIGHT(t_B2n6[[#Headers],[b0]],1))),$B$1)</f>
        <v>1</v>
      </c>
    </row>
    <row r="61" spans="1:11" x14ac:dyDescent="0.25">
      <c r="A61" s="139">
        <v>56</v>
      </c>
      <c r="B61" s="19">
        <f>ROUNDUP(t_B2n6_Fixed[[#This Row],[Row]]-$B$3,0)</f>
        <v>25</v>
      </c>
      <c r="C61" s="18">
        <f>t_B2n6[[#This Row],[x]]-D60</f>
        <v>1</v>
      </c>
      <c r="D61" s="14">
        <v>56</v>
      </c>
      <c r="E61" s="176">
        <f>MOD(INT(t_B2n6[[#This Row],[x]]/$B$1^INT(RIGHT(t_B2n6[[#Headers],[b5]],1))),$B$1)</f>
        <v>1</v>
      </c>
      <c r="F61" s="176">
        <f>MOD(INT(t_B2n6[[#This Row],[x]]/$B$1^INT(RIGHT(t_B2n6[[#Headers],[b4]],1))),$B$1)</f>
        <v>1</v>
      </c>
      <c r="G61" s="177">
        <f>MOD(INT(t_B2n6[[#This Row],[x]]/$B$1^INT(RIGHT(t_B2n6[[#Headers],[b3]],1))),$B$1)</f>
        <v>1</v>
      </c>
      <c r="H61" s="176">
        <f>MOD(INT(t_B2n6[[#This Row],[x]]/$B$1^INT(RIGHT(t_B2n6[[#Headers],[b2]],1))),$B$1)</f>
        <v>0</v>
      </c>
      <c r="I61" s="176">
        <f>MOD(INT(t_B2n6[[#This Row],[x]]/$B$1^INT(RIGHT(t_B2n6[[#Headers],[b1]],1))),$B$1)</f>
        <v>0</v>
      </c>
      <c r="J61" s="177">
        <f>MOD(INT(t_B2n6[[#This Row],[x]]/$B$1^INT(RIGHT(t_B2n6[[#Headers],[b0]],1))),$B$1)</f>
        <v>0</v>
      </c>
    </row>
    <row r="62" spans="1:11" x14ac:dyDescent="0.25">
      <c r="A62" s="139">
        <v>57</v>
      </c>
      <c r="B62" s="19">
        <f>ROUNDUP(t_B2n6_Fixed[[#This Row],[Row]]-$B$3,0)</f>
        <v>26</v>
      </c>
      <c r="C62" s="18">
        <f>t_B2n6[[#This Row],[x]]-D61</f>
        <v>1</v>
      </c>
      <c r="D62" s="14">
        <v>57</v>
      </c>
      <c r="E62" s="173">
        <f>MOD(INT(t_B2n6[[#This Row],[x]]/$B$1^INT(RIGHT(t_B2n6[[#Headers],[b5]],1))),$B$1)</f>
        <v>1</v>
      </c>
      <c r="F62" s="173">
        <f>MOD(INT(t_B2n6[[#This Row],[x]]/$B$1^INT(RIGHT(t_B2n6[[#Headers],[b4]],1))),$B$1)</f>
        <v>1</v>
      </c>
      <c r="G62" s="174">
        <f>MOD(INT(t_B2n6[[#This Row],[x]]/$B$1^INT(RIGHT(t_B2n6[[#Headers],[b3]],1))),$B$1)</f>
        <v>1</v>
      </c>
      <c r="H62" s="174">
        <f>MOD(INT(t_B2n6[[#This Row],[x]]/$B$1^INT(RIGHT(t_B2n6[[#Headers],[b2]],1))),$B$1)</f>
        <v>0</v>
      </c>
      <c r="I62" s="174">
        <f>MOD(INT(t_B2n6[[#This Row],[x]]/$B$1^INT(RIGHT(t_B2n6[[#Headers],[b1]],1))),$B$1)</f>
        <v>0</v>
      </c>
      <c r="J62" s="174">
        <f>MOD(INT(t_B2n6[[#This Row],[x]]/$B$1^INT(RIGHT(t_B2n6[[#Headers],[b0]],1))),$B$1)</f>
        <v>1</v>
      </c>
    </row>
    <row r="63" spans="1:11" x14ac:dyDescent="0.25">
      <c r="A63" s="139">
        <v>58</v>
      </c>
      <c r="B63" s="19">
        <f>ROUNDUP(t_B2n6_Fixed[[#This Row],[Row]]-$B$3,0)</f>
        <v>27</v>
      </c>
      <c r="C63" s="18">
        <f>t_B2n6[[#This Row],[x]]-D62</f>
        <v>1</v>
      </c>
      <c r="D63" s="14">
        <v>58</v>
      </c>
      <c r="E63" s="185">
        <f>MOD(INT(t_B2n6[[#This Row],[x]]/$B$1^INT(RIGHT(t_B2n6[[#Headers],[b5]],1))),$B$1)</f>
        <v>1</v>
      </c>
      <c r="F63" s="185">
        <f>MOD(INT(t_B2n6[[#This Row],[x]]/$B$1^INT(RIGHT(t_B2n6[[#Headers],[b4]],1))),$B$1)</f>
        <v>1</v>
      </c>
      <c r="G63" s="184">
        <f>MOD(INT(t_B2n6[[#This Row],[x]]/$B$1^INT(RIGHT(t_B2n6[[#Headers],[b3]],1))),$B$1)</f>
        <v>1</v>
      </c>
      <c r="H63" s="185">
        <f>MOD(INT(t_B2n6[[#This Row],[x]]/$B$1^INT(RIGHT(t_B2n6[[#Headers],[b2]],1))),$B$1)</f>
        <v>0</v>
      </c>
      <c r="I63" s="185">
        <f>MOD(INT(t_B2n6[[#This Row],[x]]/$B$1^INT(RIGHT(t_B2n6[[#Headers],[b1]],1))),$B$1)</f>
        <v>1</v>
      </c>
      <c r="J63" s="184">
        <f>MOD(INT(t_B2n6[[#This Row],[x]]/$B$1^INT(RIGHT(t_B2n6[[#Headers],[b0]],1))),$B$1)</f>
        <v>0</v>
      </c>
    </row>
    <row r="64" spans="1:11" x14ac:dyDescent="0.25">
      <c r="A64" s="139">
        <v>59</v>
      </c>
      <c r="B64" s="19">
        <f>ROUNDUP(t_B2n6_Fixed[[#This Row],[Row]]-$B$3,0)</f>
        <v>28</v>
      </c>
      <c r="C64" s="18">
        <f>t_B2n6[[#This Row],[x]]-D63</f>
        <v>1</v>
      </c>
      <c r="D64" s="14">
        <v>59</v>
      </c>
      <c r="E64" s="54">
        <f>MOD(INT(t_B2n6[[#This Row],[x]]/$B$1^INT(RIGHT(t_B2n6[[#Headers],[b5]],1))),$B$1)</f>
        <v>1</v>
      </c>
      <c r="F64" s="54">
        <f>MOD(INT(t_B2n6[[#This Row],[x]]/$B$1^INT(RIGHT(t_B2n6[[#Headers],[b4]],1))),$B$1)</f>
        <v>1</v>
      </c>
      <c r="G64" s="55">
        <f>MOD(INT(t_B2n6[[#This Row],[x]]/$B$1^INT(RIGHT(t_B2n6[[#Headers],[b3]],1))),$B$1)</f>
        <v>1</v>
      </c>
      <c r="H64" s="54">
        <f>MOD(INT(t_B2n6[[#This Row],[x]]/$B$1^INT(RIGHT(t_B2n6[[#Headers],[b2]],1))),$B$1)</f>
        <v>0</v>
      </c>
      <c r="I64" s="54">
        <f>MOD(INT(t_B2n6[[#This Row],[x]]/$B$1^INT(RIGHT(t_B2n6[[#Headers],[b1]],1))),$B$1)</f>
        <v>1</v>
      </c>
      <c r="J64" s="55">
        <f>MOD(INT(t_B2n6[[#This Row],[x]]/$B$1^INT(RIGHT(t_B2n6[[#Headers],[b0]],1))),$B$1)</f>
        <v>1</v>
      </c>
    </row>
    <row r="65" spans="1:10" x14ac:dyDescent="0.25">
      <c r="A65" s="139">
        <v>60</v>
      </c>
      <c r="B65" s="19">
        <f>ROUNDUP(t_B2n6_Fixed[[#This Row],[Row]]-$B$3,0)</f>
        <v>29</v>
      </c>
      <c r="C65" s="18">
        <f>t_B2n6[[#This Row],[x]]-D64</f>
        <v>1</v>
      </c>
      <c r="D65" s="14">
        <v>60</v>
      </c>
      <c r="E65" s="173">
        <f>MOD(INT(t_B2n6[[#This Row],[x]]/$B$1^INT(RIGHT(t_B2n6[[#Headers],[b5]],1))),$B$1)</f>
        <v>1</v>
      </c>
      <c r="F65" s="173">
        <f>MOD(INT(t_B2n6[[#This Row],[x]]/$B$1^INT(RIGHT(t_B2n6[[#Headers],[b4]],1))),$B$1)</f>
        <v>1</v>
      </c>
      <c r="G65" s="170">
        <f>MOD(INT(t_B2n6[[#This Row],[x]]/$B$1^INT(RIGHT(t_B2n6[[#Headers],[b3]],1))),$B$1)</f>
        <v>1</v>
      </c>
      <c r="H65" s="173">
        <f>MOD(INT(t_B2n6[[#This Row],[x]]/$B$1^INT(RIGHT(t_B2n6[[#Headers],[b2]],1))),$B$1)</f>
        <v>1</v>
      </c>
      <c r="I65" s="173">
        <f>MOD(INT(t_B2n6[[#This Row],[x]]/$B$1^INT(RIGHT(t_B2n6[[#Headers],[b1]],1))),$B$1)</f>
        <v>0</v>
      </c>
      <c r="J65" s="170">
        <f>MOD(INT(t_B2n6[[#This Row],[x]]/$B$1^INT(RIGHT(t_B2n6[[#Headers],[b0]],1))),$B$1)</f>
        <v>0</v>
      </c>
    </row>
    <row r="66" spans="1:10" x14ac:dyDescent="0.25">
      <c r="A66" s="139">
        <v>61</v>
      </c>
      <c r="B66" s="19">
        <f>ROUNDUP(t_B2n6_Fixed[[#This Row],[Row]]-$B$3,0)</f>
        <v>30</v>
      </c>
      <c r="C66" s="18">
        <f>t_B2n6[[#This Row],[x]]-D65</f>
        <v>1</v>
      </c>
      <c r="D66" s="14">
        <v>61</v>
      </c>
      <c r="E66" s="54">
        <f>MOD(INT(t_B2n6[[#This Row],[x]]/$B$1^INT(RIGHT(t_B2n6[[#Headers],[b5]],1))),$B$1)</f>
        <v>1</v>
      </c>
      <c r="F66" s="54">
        <f>MOD(INT(t_B2n6[[#This Row],[x]]/$B$1^INT(RIGHT(t_B2n6[[#Headers],[b4]],1))),$B$1)</f>
        <v>1</v>
      </c>
      <c r="G66" s="55">
        <f>MOD(INT(t_B2n6[[#This Row],[x]]/$B$1^INT(RIGHT(t_B2n6[[#Headers],[b3]],1))),$B$1)</f>
        <v>1</v>
      </c>
      <c r="H66" s="54">
        <f>MOD(INT(t_B2n6[[#This Row],[x]]/$B$1^INT(RIGHT(t_B2n6[[#Headers],[b2]],1))),$B$1)</f>
        <v>1</v>
      </c>
      <c r="I66" s="54">
        <f>MOD(INT(t_B2n6[[#This Row],[x]]/$B$1^INT(RIGHT(t_B2n6[[#Headers],[b1]],1))),$B$1)</f>
        <v>0</v>
      </c>
      <c r="J66" s="55">
        <f>MOD(INT(t_B2n6[[#This Row],[x]]/$B$1^INT(RIGHT(t_B2n6[[#Headers],[b0]],1))),$B$1)</f>
        <v>1</v>
      </c>
    </row>
    <row r="67" spans="1:10" x14ac:dyDescent="0.25">
      <c r="A67" s="139">
        <v>62</v>
      </c>
      <c r="B67" s="19">
        <f>ROUNDUP(t_B2n6_Fixed[[#This Row],[Row]]-$B$3,0)</f>
        <v>31</v>
      </c>
      <c r="C67" s="18">
        <f>t_B2n6[[#This Row],[x]]-D66</f>
        <v>1</v>
      </c>
      <c r="D67" s="14">
        <v>62</v>
      </c>
      <c r="E67" s="54">
        <f>MOD(INT(t_B2n6[[#This Row],[x]]/$B$1^INT(RIGHT(t_B2n6[[#Headers],[b5]],1))),$B$1)</f>
        <v>1</v>
      </c>
      <c r="F67" s="54">
        <f>MOD(INT(t_B2n6[[#This Row],[x]]/$B$1^INT(RIGHT(t_B2n6[[#Headers],[b4]],1))),$B$1)</f>
        <v>1</v>
      </c>
      <c r="G67" s="55">
        <f>MOD(INT(t_B2n6[[#This Row],[x]]/$B$1^INT(RIGHT(t_B2n6[[#Headers],[b3]],1))),$B$1)</f>
        <v>1</v>
      </c>
      <c r="H67" s="54">
        <f>MOD(INT(t_B2n6[[#This Row],[x]]/$B$1^INT(RIGHT(t_B2n6[[#Headers],[b2]],1))),$B$1)</f>
        <v>1</v>
      </c>
      <c r="I67" s="54">
        <f>MOD(INT(t_B2n6[[#This Row],[x]]/$B$1^INT(RIGHT(t_B2n6[[#Headers],[b1]],1))),$B$1)</f>
        <v>1</v>
      </c>
      <c r="J67" s="55">
        <f>MOD(INT(t_B2n6[[#This Row],[x]]/$B$1^INT(RIGHT(t_B2n6[[#Headers],[b0]],1))),$B$1)</f>
        <v>0</v>
      </c>
    </row>
    <row r="68" spans="1:10" x14ac:dyDescent="0.25">
      <c r="A68" s="139">
        <v>63</v>
      </c>
      <c r="B68" s="19">
        <f>ROUNDUP(t_B2n6_Fixed[[#This Row],[Row]]-$B$3,0)</f>
        <v>32</v>
      </c>
      <c r="C68" s="18">
        <f>t_B2n6[[#This Row],[x]]-D67</f>
        <v>1</v>
      </c>
      <c r="D68" s="14">
        <v>63</v>
      </c>
      <c r="E68" s="75">
        <f>MOD(INT(t_B2n6[[#This Row],[x]]/$B$1^INT(RIGHT(t_B2n6[[#Headers],[b5]],1))),$B$1)</f>
        <v>1</v>
      </c>
      <c r="F68" s="75">
        <f>MOD(INT(t_B2n6[[#This Row],[x]]/$B$1^INT(RIGHT(t_B2n6[[#Headers],[b4]],1))),$B$1)</f>
        <v>1</v>
      </c>
      <c r="G68" s="76">
        <f>MOD(INT(t_B2n6[[#This Row],[x]]/$B$1^INT(RIGHT(t_B2n6[[#Headers],[b3]],1))),$B$1)</f>
        <v>1</v>
      </c>
      <c r="H68" s="75">
        <f>MOD(INT(t_B2n6[[#This Row],[x]]/$B$1^INT(RIGHT(t_B2n6[[#Headers],[b2]],1))),$B$1)</f>
        <v>1</v>
      </c>
      <c r="I68" s="75">
        <f>MOD(INT(t_B2n6[[#This Row],[x]]/$B$1^INT(RIGHT(t_B2n6[[#Headers],[b1]],1))),$B$1)</f>
        <v>1</v>
      </c>
      <c r="J68" s="76">
        <f>MOD(INT(t_B2n6[[#This Row],[x]]/$B$1^INT(RIGHT(t_B2n6[[#Headers],[b0]],1))),$B$1)</f>
        <v>1</v>
      </c>
    </row>
    <row r="69" spans="1:10" x14ac:dyDescent="0.25">
      <c r="A69" s="197" t="s">
        <v>1</v>
      </c>
      <c r="B69" s="139"/>
      <c r="C69">
        <f>SUBTOTAL(109,t_B2n6_Fixed[Interval])</f>
        <v>63</v>
      </c>
      <c r="D69" s="17" t="s">
        <v>1</v>
      </c>
      <c r="E69" s="17">
        <f>SUBTOTAL(109,t_B2n6[b5])</f>
        <v>32</v>
      </c>
      <c r="F69" s="17">
        <f>SUBTOTAL(109,t_B2n6[b4])</f>
        <v>32</v>
      </c>
      <c r="G69" s="17">
        <f>SUBTOTAL(109,t_B2n6[b3])</f>
        <v>32</v>
      </c>
      <c r="H69" s="17">
        <f>SUBTOTAL(109,t_B2n6[b2])</f>
        <v>32</v>
      </c>
      <c r="I69" s="17">
        <f>SUBTOTAL(109,t_B2n6[b1])</f>
        <v>32</v>
      </c>
      <c r="J69" s="17">
        <f>SUBTOTAL(109,t_B2n6[b0])</f>
        <v>32</v>
      </c>
    </row>
  </sheetData>
  <phoneticPr fontId="22" type="noConversion"/>
  <pageMargins left="0.7" right="0.7" top="0.75" bottom="0.75" header="0.3" footer="0.3"/>
  <pageSetup paperSize="9" orientation="portrait" horizontalDpi="1200" verticalDpi="1200"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F4F42-F8B3-484E-8685-27AF84D6DE3E}">
  <dimension ref="A1:AF17"/>
  <sheetViews>
    <sheetView workbookViewId="0">
      <pane ySplit="4" topLeftCell="A5" activePane="bottomLeft" state="frozen"/>
      <selection pane="bottomLeft"/>
    </sheetView>
  </sheetViews>
  <sheetFormatPr defaultColWidth="9.5703125" defaultRowHeight="15" x14ac:dyDescent="0.25"/>
  <cols>
    <col min="1" max="1" width="9.5703125" style="17" bestFit="1" customWidth="1"/>
    <col min="2" max="3" width="3.7109375" style="17" bestFit="1" customWidth="1"/>
    <col min="4" max="4" width="5.7109375" style="17" bestFit="1" customWidth="1"/>
    <col min="5" max="5" width="5.140625" style="17" bestFit="1" customWidth="1"/>
    <col min="6" max="6" width="5.140625" style="16" bestFit="1" customWidth="1"/>
    <col min="7" max="7" width="7.85546875" style="17" bestFit="1" customWidth="1"/>
    <col min="8" max="8" width="7.85546875" style="17" customWidth="1"/>
    <col min="9" max="9" width="27.7109375" style="17" bestFit="1" customWidth="1"/>
    <col min="10" max="11" width="4.140625" style="17" bestFit="1" customWidth="1"/>
    <col min="12" max="13" width="3.85546875" style="17" bestFit="1" customWidth="1"/>
    <col min="14" max="14" width="2.5703125" style="17" bestFit="1" customWidth="1"/>
    <col min="15" max="15" width="9.5703125" style="17"/>
    <col min="16" max="16" width="3.7109375" style="17" bestFit="1" customWidth="1"/>
    <col min="17" max="17" width="6" style="17" customWidth="1"/>
    <col min="18" max="18" width="4.85546875" style="17" bestFit="1" customWidth="1"/>
    <col min="19" max="19" width="7.7109375" style="17" bestFit="1" customWidth="1"/>
    <col min="20" max="20" width="7.85546875" style="17" customWidth="1"/>
    <col min="21" max="21" width="9.5703125" style="17"/>
    <col min="22" max="22" width="3.7109375" style="17" bestFit="1" customWidth="1"/>
    <col min="23" max="23" width="6" style="17" bestFit="1" customWidth="1"/>
    <col min="24" max="24" width="4.85546875" style="17" bestFit="1" customWidth="1"/>
    <col min="25" max="25" width="7.7109375" style="17" bestFit="1" customWidth="1"/>
    <col min="26" max="26" width="7.85546875" style="17" bestFit="1" customWidth="1"/>
    <col min="27" max="27" width="9.5703125" style="17"/>
    <col min="28" max="28" width="3.7109375" style="17" bestFit="1" customWidth="1"/>
    <col min="29" max="29" width="6" style="17" bestFit="1" customWidth="1"/>
    <col min="30" max="30" width="4.85546875" style="17" bestFit="1" customWidth="1"/>
    <col min="31" max="31" width="6" style="17" bestFit="1" customWidth="1"/>
    <col min="32" max="32" width="7.85546875" style="17" customWidth="1"/>
    <col min="33" max="16384" width="9.5703125" style="17"/>
  </cols>
  <sheetData>
    <row r="1" spans="1:32" ht="18.75" x14ac:dyDescent="0.3">
      <c r="A1" s="202" t="s">
        <v>2</v>
      </c>
      <c r="B1" s="203">
        <v>3</v>
      </c>
    </row>
    <row r="2" spans="1:32" ht="18.75" x14ac:dyDescent="0.3">
      <c r="A2" s="202" t="s">
        <v>4</v>
      </c>
      <c r="B2" s="203">
        <v>2</v>
      </c>
    </row>
    <row r="3" spans="1:32" ht="18.75" x14ac:dyDescent="0.3">
      <c r="A3" s="202" t="s">
        <v>0</v>
      </c>
      <c r="B3" s="203">
        <f>(B1^B2 - 1)/2</f>
        <v>4</v>
      </c>
    </row>
    <row r="4" spans="1:32" ht="51.75" thickBot="1" x14ac:dyDescent="0.3">
      <c r="A4" s="120" t="s">
        <v>25</v>
      </c>
      <c r="B4" s="120" t="s">
        <v>26</v>
      </c>
      <c r="C4" s="120" t="s">
        <v>28</v>
      </c>
      <c r="D4" s="208" t="s">
        <v>27</v>
      </c>
      <c r="E4" s="121" t="s">
        <v>8</v>
      </c>
      <c r="F4" s="121" t="s">
        <v>7</v>
      </c>
      <c r="G4" s="16"/>
      <c r="P4" s="120" t="s">
        <v>28</v>
      </c>
      <c r="Q4" s="322" t="s">
        <v>26</v>
      </c>
      <c r="R4" s="323" t="s">
        <v>539</v>
      </c>
      <c r="S4" s="324" t="s">
        <v>537</v>
      </c>
      <c r="V4" s="120" t="s">
        <v>28</v>
      </c>
      <c r="W4" s="120" t="s">
        <v>26</v>
      </c>
      <c r="X4" s="254" t="s">
        <v>539</v>
      </c>
      <c r="Y4" s="120" t="s">
        <v>537</v>
      </c>
      <c r="AB4" s="120" t="s">
        <v>28</v>
      </c>
      <c r="AC4" s="120" t="s">
        <v>26</v>
      </c>
      <c r="AD4" s="254" t="s">
        <v>539</v>
      </c>
      <c r="AE4" s="120" t="s">
        <v>537</v>
      </c>
    </row>
    <row r="5" spans="1:32" ht="16.5" thickTop="1" thickBot="1" x14ac:dyDescent="0.3">
      <c r="A5" s="139">
        <v>0</v>
      </c>
      <c r="B5" s="139">
        <f>ROUNDUP(t_B3n2_Fixed[[#This Row],[Row]]-$B$3,0)</f>
        <v>-4</v>
      </c>
      <c r="C5" s="12"/>
      <c r="D5" s="9">
        <v>0</v>
      </c>
      <c r="E5" s="20">
        <f>MOD(INT(t_B3n2[[#This Row],[x]]/$B$1^INT(RIGHT(t_B3n2[[#Headers],[b1]],1))),$B$1)</f>
        <v>0</v>
      </c>
      <c r="F5" s="20">
        <f>MOD(INT(t_B3n2[[#This Row],[x]]/$B$1^INT(RIGHT(t_B3n2[[#Headers],[b0]],1))),$B$1)</f>
        <v>0</v>
      </c>
      <c r="G5" s="16"/>
      <c r="H5" s="18"/>
      <c r="P5" s="139"/>
      <c r="Q5" s="320">
        <f>INDEX(t_B3n2_Fixed[Offset],MATCH($A$5,t_B3n2[x],0),1)</f>
        <v>-4</v>
      </c>
      <c r="R5" s="314">
        <v>0</v>
      </c>
      <c r="S5" s="342" t="s">
        <v>30</v>
      </c>
      <c r="T5" s="27" t="s">
        <v>0</v>
      </c>
      <c r="V5" s="139"/>
      <c r="W5" s="139">
        <f>INDEX(t_B3n2_Fixed[Offset],MATCH($A$6,t_B3n2[x],0),1)</f>
        <v>-3</v>
      </c>
      <c r="X5" s="139">
        <v>1</v>
      </c>
      <c r="Y5" s="255" t="s">
        <v>181</v>
      </c>
      <c r="AB5" s="139"/>
      <c r="AC5" s="6">
        <f>INDEX(t_B3n2_Fixed[Offset],MATCH($A$7,t_B3n2[x],0),1)</f>
        <v>-2</v>
      </c>
      <c r="AD5" s="6">
        <v>2</v>
      </c>
      <c r="AE5" s="300" t="s">
        <v>182</v>
      </c>
      <c r="AF5" s="27" t="s">
        <v>0</v>
      </c>
    </row>
    <row r="6" spans="1:32" ht="15.75" thickBot="1" x14ac:dyDescent="0.3">
      <c r="A6" s="139">
        <v>1</v>
      </c>
      <c r="B6" s="139">
        <f>ROUNDUP(t_B3n2_Fixed[[#This Row],[Row]]-$B$3,0)</f>
        <v>-3</v>
      </c>
      <c r="C6" s="12">
        <f>t_B3n2[[#This Row],[x]]-D5</f>
        <v>1</v>
      </c>
      <c r="D6" s="9">
        <v>1</v>
      </c>
      <c r="E6" s="42">
        <f>MOD(INT(t_B3n2[[#This Row],[x]]/$B$1^INT(RIGHT(t_B3n2[[#Headers],[b1]],1))),$B$1)</f>
        <v>0</v>
      </c>
      <c r="F6" s="43">
        <f>MOD(INT(t_B3n2[[#This Row],[x]]/$B$1^INT(RIGHT(t_B3n2[[#Headers],[b0]],1))),$B$1)</f>
        <v>1</v>
      </c>
      <c r="G6" s="16"/>
      <c r="H6" s="123"/>
      <c r="I6" s="130" t="s">
        <v>21</v>
      </c>
      <c r="J6" s="124" t="s">
        <v>5</v>
      </c>
      <c r="P6" s="139">
        <f>t_B3n2_AB1[[#This Row],[Offset]]-Q5</f>
        <v>8</v>
      </c>
      <c r="Q6" s="334">
        <f>INDEX(t_B3n2_Fixed[Offset],MATCH($A$13,t_B3n2[x],0),1)</f>
        <v>4</v>
      </c>
      <c r="R6" s="315">
        <v>8</v>
      </c>
      <c r="S6" s="343" t="s">
        <v>187</v>
      </c>
      <c r="V6" s="139">
        <f>t_B3n2_AB2[[#This Row],[Offset]]-W5</f>
        <v>2</v>
      </c>
      <c r="W6" s="6">
        <f>INDEX(t_B3n2_Fixed[Offset],MATCH($A$8,t_B3n2[x],0),1)</f>
        <v>-1</v>
      </c>
      <c r="X6" s="6">
        <v>3</v>
      </c>
      <c r="Y6" s="295" t="s">
        <v>183</v>
      </c>
      <c r="Z6" s="25" t="s">
        <v>0</v>
      </c>
      <c r="AB6" s="139">
        <f>t_B3n2_S1[[#This Row],[Offset]]-AC5</f>
        <v>4</v>
      </c>
      <c r="AC6" s="139">
        <f>INDEX(t_B3n2_Fixed[Offset],MATCH($A$11,t_B3n2[x],0),1)</f>
        <v>2</v>
      </c>
      <c r="AD6" s="139">
        <v>6</v>
      </c>
      <c r="AE6" s="44" t="s">
        <v>185</v>
      </c>
    </row>
    <row r="7" spans="1:32" x14ac:dyDescent="0.25">
      <c r="A7" s="139">
        <v>2</v>
      </c>
      <c r="B7" s="139">
        <f>ROUNDUP(t_B3n2_Fixed[[#This Row],[Row]]-$B$3,0)</f>
        <v>-2</v>
      </c>
      <c r="C7" s="12">
        <f>t_B3n2[[#This Row],[x]]-D6</f>
        <v>1</v>
      </c>
      <c r="D7" s="9">
        <v>2</v>
      </c>
      <c r="E7" s="44">
        <f>MOD(INT(t_B3n2[[#This Row],[x]]/$B$1^INT(RIGHT(t_B3n2[[#Headers],[b1]],1))),$B$1)</f>
        <v>0</v>
      </c>
      <c r="F7" s="45">
        <f>MOD(INT(t_B3n2[[#This Row],[x]]/$B$1^INT(RIGHT(t_B3n2[[#Headers],[b0]],1))),$B$1)</f>
        <v>2</v>
      </c>
      <c r="G7" s="16"/>
      <c r="H7" s="123"/>
      <c r="I7" s="131" t="s">
        <v>13</v>
      </c>
      <c r="J7" s="125">
        <v>1</v>
      </c>
      <c r="L7" s="89" t="s">
        <v>33</v>
      </c>
      <c r="M7" s="107" t="s">
        <v>34</v>
      </c>
      <c r="V7" s="139">
        <f>t_B3n2_AB2[[#This Row],[Offset]]-W6</f>
        <v>2</v>
      </c>
      <c r="W7" s="139">
        <f>INDEX(t_B3n2_Fixed[Offset],MATCH($A$10,t_B3n2[x],0),1)</f>
        <v>1</v>
      </c>
      <c r="X7" s="139">
        <v>5</v>
      </c>
      <c r="Y7" s="273" t="s">
        <v>184</v>
      </c>
    </row>
    <row r="8" spans="1:32" x14ac:dyDescent="0.25">
      <c r="A8" s="139">
        <v>3</v>
      </c>
      <c r="B8" s="139">
        <f>ROUNDUP(t_B3n2_Fixed[[#This Row],[Row]]-$B$3,0)</f>
        <v>-1</v>
      </c>
      <c r="C8" s="12">
        <f>t_B3n2[[#This Row],[x]]-D7</f>
        <v>1</v>
      </c>
      <c r="D8" s="9">
        <v>3</v>
      </c>
      <c r="E8" s="42">
        <f>MOD(INT(t_B3n2[[#This Row],[x]]/$B$1^INT(RIGHT(t_B3n2[[#Headers],[b1]],1))),$B$1)</f>
        <v>1</v>
      </c>
      <c r="F8" s="43">
        <f>MOD(INT(t_B3n2[[#This Row],[x]]/$B$1^INT(RIGHT(t_B3n2[[#Headers],[b0]],1))),$B$1)</f>
        <v>0</v>
      </c>
      <c r="G8" s="16"/>
      <c r="H8" s="123"/>
      <c r="I8" s="132" t="s">
        <v>20</v>
      </c>
      <c r="J8" s="126">
        <v>1</v>
      </c>
      <c r="L8" s="90" t="s">
        <v>36</v>
      </c>
      <c r="M8" s="96" t="s">
        <v>37</v>
      </c>
      <c r="V8" s="139">
        <f>t_B3n2_AB2[[#This Row],[Offset]]-W7</f>
        <v>2</v>
      </c>
      <c r="W8" s="139">
        <f>INDEX(t_B3n2_Fixed[Offset],MATCH($A$12,t_B3n2[x],0),1)</f>
        <v>3</v>
      </c>
      <c r="X8" s="139">
        <v>7</v>
      </c>
      <c r="Y8" s="273" t="s">
        <v>186</v>
      </c>
    </row>
    <row r="9" spans="1:32" ht="15.75" thickBot="1" x14ac:dyDescent="0.3">
      <c r="A9" s="22">
        <v>4</v>
      </c>
      <c r="B9" s="22">
        <f>ROUNDUP(t_B3n2_Fixed[[#This Row],[Row]]-$B$3,0)</f>
        <v>0</v>
      </c>
      <c r="C9" s="23">
        <f>t_B3n2[[#This Row],[x]]-D8</f>
        <v>1</v>
      </c>
      <c r="D9" s="22">
        <v>4</v>
      </c>
      <c r="E9" s="22">
        <f>MOD(INT(t_B3n2[[#This Row],[x]]/$B$1^INT(RIGHT(t_B3n2[[#Headers],[b1]],1))),$B$1)</f>
        <v>1</v>
      </c>
      <c r="F9" s="23">
        <f>MOD(INT(t_B3n2[[#This Row],[x]]/$B$1^INT(RIGHT(t_B3n2[[#Headers],[b0]],1))),$B$1)</f>
        <v>1</v>
      </c>
      <c r="G9" s="28" t="s">
        <v>0</v>
      </c>
      <c r="H9" s="123"/>
      <c r="I9" s="133" t="s">
        <v>23</v>
      </c>
      <c r="J9" s="127">
        <v>1</v>
      </c>
      <c r="L9" s="152" t="s">
        <v>35</v>
      </c>
    </row>
    <row r="10" spans="1:32" x14ac:dyDescent="0.25">
      <c r="A10" s="139">
        <v>5</v>
      </c>
      <c r="B10" s="139">
        <f>ROUNDUP(t_B3n2_Fixed[[#This Row],[Row]]-$B$3,0)</f>
        <v>1</v>
      </c>
      <c r="C10" s="12">
        <f>t_B3n2[[#This Row],[x]]-D9</f>
        <v>1</v>
      </c>
      <c r="D10" s="9">
        <v>5</v>
      </c>
      <c r="E10" s="54">
        <f>MOD(INT(t_B3n2[[#This Row],[x]]/$B$1^INT(RIGHT(t_B3n2[[#Headers],[b1]],1))),$B$1)</f>
        <v>1</v>
      </c>
      <c r="F10" s="55">
        <f>MOD(INT(t_B3n2[[#This Row],[x]]/$B$1^INT(RIGHT(t_B3n2[[#Headers],[b0]],1))),$B$1)</f>
        <v>2</v>
      </c>
      <c r="G10" s="16"/>
      <c r="H10" s="14"/>
      <c r="I10" s="134" t="s">
        <v>15</v>
      </c>
      <c r="J10" s="128">
        <f>SUM(J7:J9)</f>
        <v>3</v>
      </c>
    </row>
    <row r="11" spans="1:32" ht="15.75" thickBot="1" x14ac:dyDescent="0.3">
      <c r="A11" s="139">
        <v>6</v>
      </c>
      <c r="B11" s="139">
        <f>ROUNDUP(t_B3n2_Fixed[[#This Row],[Row]]-$B$3,0)</f>
        <v>2</v>
      </c>
      <c r="C11" s="12">
        <f>t_B3n2[[#This Row],[x]]-D10</f>
        <v>1</v>
      </c>
      <c r="D11" s="9">
        <v>6</v>
      </c>
      <c r="E11" s="44">
        <f>MOD(INT(t_B3n2[[#This Row],[x]]/$B$1^INT(RIGHT(t_B3n2[[#Headers],[b1]],1))),$B$1)</f>
        <v>2</v>
      </c>
      <c r="F11" s="45">
        <f>MOD(INT(t_B3n2[[#This Row],[x]]/$B$1^INT(RIGHT(t_B3n2[[#Headers],[b0]],1))),$B$1)</f>
        <v>0</v>
      </c>
      <c r="G11" s="16"/>
      <c r="H11" s="123"/>
      <c r="I11" s="135" t="s">
        <v>16</v>
      </c>
      <c r="J11" s="129">
        <v>5</v>
      </c>
    </row>
    <row r="12" spans="1:32" x14ac:dyDescent="0.25">
      <c r="A12" s="139">
        <v>7</v>
      </c>
      <c r="B12" s="139">
        <f>ROUNDUP(t_B3n2_Fixed[[#This Row],[Row]]-$B$3,0)</f>
        <v>3</v>
      </c>
      <c r="C12" s="12">
        <f>t_B3n2[[#This Row],[x]]-D11</f>
        <v>1</v>
      </c>
      <c r="D12" s="9">
        <v>7</v>
      </c>
      <c r="E12" s="54">
        <f>MOD(INT(t_B3n2[[#This Row],[x]]/$B$1^INT(RIGHT(t_B3n2[[#Headers],[b1]],1))),$B$1)</f>
        <v>2</v>
      </c>
      <c r="F12" s="55">
        <f>MOD(INT(t_B3n2[[#This Row],[x]]/$B$1^INT(RIGHT(t_B3n2[[#Headers],[b0]],1))),$B$1)</f>
        <v>1</v>
      </c>
      <c r="G12" s="16"/>
      <c r="H12" s="14"/>
    </row>
    <row r="13" spans="1:32" x14ac:dyDescent="0.25">
      <c r="A13" s="139">
        <v>8</v>
      </c>
      <c r="B13" s="139">
        <f>ROUNDUP(t_B3n2_Fixed[[#This Row],[Row]]-$B$3,0)</f>
        <v>4</v>
      </c>
      <c r="C13" s="12">
        <f>t_B3n2[[#This Row],[x]]-D12</f>
        <v>1</v>
      </c>
      <c r="D13" s="9">
        <v>8</v>
      </c>
      <c r="E13" s="75">
        <f>MOD(INT(t_B3n2[[#This Row],[x]]/$B$1^INT(RIGHT(t_B3n2[[#Headers],[b1]],1))),$B$1)</f>
        <v>2</v>
      </c>
      <c r="F13" s="76">
        <f>MOD(INT(t_B3n2[[#This Row],[x]]/$B$1^INT(RIGHT(t_B3n2[[#Headers],[b0]],1))),$B$1)</f>
        <v>2</v>
      </c>
      <c r="G13" s="16"/>
      <c r="H13" s="123"/>
    </row>
    <row r="14" spans="1:32" x14ac:dyDescent="0.25">
      <c r="A14" s="197" t="s">
        <v>1</v>
      </c>
      <c r="B14" s="139"/>
      <c r="C14">
        <f>SUBTOTAL(109,t_B3n2_Fixed[Interval])</f>
        <v>8</v>
      </c>
      <c r="D14" s="17" t="s">
        <v>1</v>
      </c>
      <c r="E14" s="17">
        <f>SUBTOTAL(109,t_B3n2[b1])</f>
        <v>9</v>
      </c>
      <c r="F14" s="17">
        <f>SUBTOTAL(109,t_B3n2[b0])</f>
        <v>9</v>
      </c>
      <c r="G14" s="16"/>
      <c r="H14" s="2"/>
    </row>
    <row r="15" spans="1:32" x14ac:dyDescent="0.25">
      <c r="H15" s="2"/>
    </row>
    <row r="17" spans="6:6" x14ac:dyDescent="0.25">
      <c r="F17" s="2"/>
    </row>
  </sheetData>
  <pageMargins left="0.7" right="0.7" top="0.75" bottom="0.75" header="0.3" footer="0.3"/>
  <pageSetup paperSize="9" orientation="portrait" horizontalDpi="1200" verticalDpi="1200" r:id="rId1"/>
  <tableParts count="8">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CQ32"/>
  <sheetViews>
    <sheetView workbookViewId="0">
      <pane ySplit="4" topLeftCell="A5" activePane="bottomLeft" state="frozen"/>
      <selection pane="bottomLeft"/>
    </sheetView>
  </sheetViews>
  <sheetFormatPr defaultColWidth="9.5703125" defaultRowHeight="15" x14ac:dyDescent="0.25"/>
  <cols>
    <col min="1" max="1" width="9.5703125" bestFit="1" customWidth="1"/>
    <col min="2" max="2" width="4.140625" bestFit="1" customWidth="1"/>
    <col min="3" max="3" width="3.7109375" bestFit="1" customWidth="1"/>
    <col min="4" max="4" width="5.7109375" bestFit="1" customWidth="1"/>
    <col min="5" max="7" width="5.140625" bestFit="1" customWidth="1"/>
    <col min="8" max="8" width="8.85546875" style="16" bestFit="1" customWidth="1"/>
    <col min="9" max="9" width="7.85546875" bestFit="1" customWidth="1"/>
    <col min="10" max="10" width="7.85546875" customWidth="1"/>
    <col min="11" max="11" width="23.5703125" bestFit="1" customWidth="1"/>
    <col min="12" max="13" width="4.140625" bestFit="1" customWidth="1"/>
    <col min="14" max="15" width="3.85546875" bestFit="1" customWidth="1"/>
    <col min="16" max="16" width="2.5703125" customWidth="1"/>
    <col min="17" max="18" width="3.85546875" bestFit="1" customWidth="1"/>
    <col min="19" max="19" width="2.5703125" customWidth="1"/>
    <col min="20" max="21" width="3.85546875" bestFit="1" customWidth="1"/>
    <col min="22" max="22" width="2.5703125" customWidth="1"/>
    <col min="23" max="24" width="3.85546875" bestFit="1" customWidth="1"/>
    <col min="25" max="25" width="2.5703125" bestFit="1" customWidth="1"/>
    <col min="26" max="26" width="3.7109375" bestFit="1" customWidth="1"/>
    <col min="27" max="27" width="6" customWidth="1"/>
    <col min="28" max="28" width="4.85546875" bestFit="1" customWidth="1"/>
    <col min="29" max="29" width="9" bestFit="1" customWidth="1"/>
    <col min="30" max="30" width="7.85546875" style="17" customWidth="1"/>
    <col min="32" max="32" width="3.7109375" bestFit="1" customWidth="1"/>
    <col min="33" max="33" width="6" bestFit="1" customWidth="1"/>
    <col min="34" max="34" width="4.85546875" bestFit="1" customWidth="1"/>
    <col min="35" max="35" width="9" bestFit="1" customWidth="1"/>
    <col min="36" max="36" width="7.85546875" style="17" bestFit="1" customWidth="1"/>
    <col min="38" max="38" width="3.7109375" bestFit="1" customWidth="1"/>
    <col min="39" max="39" width="6" bestFit="1" customWidth="1"/>
    <col min="40" max="40" width="4.85546875" bestFit="1" customWidth="1"/>
    <col min="41" max="41" width="4.85546875" style="17" bestFit="1" customWidth="1"/>
    <col min="42" max="42" width="9" bestFit="1" customWidth="1"/>
    <col min="43" max="43" width="7.85546875" style="17" bestFit="1" customWidth="1"/>
    <col min="45" max="45" width="3.7109375" bestFit="1" customWidth="1"/>
    <col min="46" max="46" width="6" bestFit="1" customWidth="1"/>
    <col min="47" max="47" width="4.85546875" bestFit="1" customWidth="1"/>
    <col min="48" max="48" width="9" bestFit="1" customWidth="1"/>
    <col min="49" max="49" width="7.85546875" style="17" bestFit="1" customWidth="1"/>
    <col min="51" max="51" width="3.7109375" bestFit="1" customWidth="1"/>
    <col min="52" max="52" width="6" bestFit="1" customWidth="1"/>
    <col min="53" max="53" width="4.85546875" bestFit="1" customWidth="1"/>
    <col min="54" max="54" width="4.85546875" style="17" bestFit="1" customWidth="1"/>
    <col min="55" max="55" width="9" bestFit="1" customWidth="1"/>
    <col min="56" max="56" width="7.85546875" style="17" bestFit="1" customWidth="1"/>
  </cols>
  <sheetData>
    <row r="1" spans="1:95" s="17" customFormat="1" ht="18.75" x14ac:dyDescent="0.3">
      <c r="A1" s="202" t="s">
        <v>2</v>
      </c>
      <c r="B1" s="203">
        <v>3</v>
      </c>
      <c r="H1" s="16"/>
    </row>
    <row r="2" spans="1:95" ht="18.75" x14ac:dyDescent="0.3">
      <c r="A2" s="202" t="s">
        <v>4</v>
      </c>
      <c r="B2" s="203">
        <v>3</v>
      </c>
    </row>
    <row r="3" spans="1:95" s="17" customFormat="1" ht="18.75" x14ac:dyDescent="0.3">
      <c r="A3" s="202" t="s">
        <v>0</v>
      </c>
      <c r="B3" s="203">
        <f>(B1^B2 - 1)/2</f>
        <v>13</v>
      </c>
      <c r="H3" s="16"/>
    </row>
    <row r="4" spans="1:95" ht="64.5" thickBot="1" x14ac:dyDescent="0.3">
      <c r="A4" s="120" t="s">
        <v>25</v>
      </c>
      <c r="B4" s="120" t="s">
        <v>26</v>
      </c>
      <c r="C4" s="120" t="s">
        <v>28</v>
      </c>
      <c r="D4" s="208" t="s">
        <v>27</v>
      </c>
      <c r="E4" s="121" t="s">
        <v>9</v>
      </c>
      <c r="F4" s="121" t="s">
        <v>8</v>
      </c>
      <c r="G4" s="121" t="s">
        <v>7</v>
      </c>
      <c r="H4" s="122" t="s">
        <v>29</v>
      </c>
      <c r="I4" s="16"/>
      <c r="Z4" s="120" t="s">
        <v>28</v>
      </c>
      <c r="AA4" s="322" t="s">
        <v>26</v>
      </c>
      <c r="AB4" s="323" t="s">
        <v>539</v>
      </c>
      <c r="AC4" s="324" t="s">
        <v>537</v>
      </c>
      <c r="AF4" s="120" t="s">
        <v>28</v>
      </c>
      <c r="AG4" s="120" t="s">
        <v>26</v>
      </c>
      <c r="AH4" s="254" t="s">
        <v>539</v>
      </c>
      <c r="AI4" s="120" t="s">
        <v>537</v>
      </c>
      <c r="AJ4" s="16"/>
      <c r="AK4" s="17"/>
      <c r="AL4" s="120" t="s">
        <v>28</v>
      </c>
      <c r="AM4" s="120" t="s">
        <v>26</v>
      </c>
      <c r="AN4" s="254" t="s">
        <v>538</v>
      </c>
      <c r="AO4" s="254" t="s">
        <v>539</v>
      </c>
      <c r="AP4" s="120" t="s">
        <v>537</v>
      </c>
      <c r="AQ4" s="16"/>
      <c r="AR4" s="17"/>
      <c r="AS4" s="120" t="s">
        <v>28</v>
      </c>
      <c r="AT4" s="120" t="s">
        <v>26</v>
      </c>
      <c r="AU4" s="254" t="s">
        <v>539</v>
      </c>
      <c r="AV4" s="120" t="s">
        <v>537</v>
      </c>
      <c r="AW4" s="16"/>
      <c r="AX4" s="17"/>
      <c r="AY4" s="120" t="s">
        <v>28</v>
      </c>
      <c r="AZ4" s="120" t="s">
        <v>26</v>
      </c>
      <c r="BA4" s="254" t="s">
        <v>538</v>
      </c>
      <c r="BB4" s="254" t="s">
        <v>539</v>
      </c>
      <c r="BC4" s="120" t="s">
        <v>537</v>
      </c>
      <c r="BD4" s="16"/>
    </row>
    <row r="5" spans="1:95" ht="16.5" thickTop="1" thickBot="1" x14ac:dyDescent="0.3">
      <c r="A5" s="139">
        <v>0</v>
      </c>
      <c r="B5" s="139">
        <f>ROUNDUP(t_B3n3_Fixed[[#This Row],[Row]]-$B$3,0)</f>
        <v>-13</v>
      </c>
      <c r="C5" s="12"/>
      <c r="D5" s="9">
        <v>0</v>
      </c>
      <c r="E5" s="15">
        <f>MOD(INT(t_B3n3[[#This Row],[x]]/$B$1^INT(RIGHT(t_B3n3[[#Headers],[b2]],1))),$B$1)</f>
        <v>0</v>
      </c>
      <c r="F5" s="15">
        <f>MOD(INT(t_B3n3[[#This Row],[x]]/$B$1^INT(RIGHT(t_B3n3[[#Headers],[b1]],1))),$B$1)</f>
        <v>0</v>
      </c>
      <c r="G5" s="15">
        <f>MOD(INT(t_B3n3[[#This Row],[x]]/$B$1^INT(RIGHT(t_B3n3[[#Headers],[b0]],1))),$B$1)</f>
        <v>0</v>
      </c>
      <c r="H5" s="4" t="str">
        <f t="array" ref="H5">IF(SUM(IF(COUNTIF(t_B3n3[[#This Row],[b2]:[b0]],t_B3n3[[#This Row],[b2]:[b0]])=1,1,0))=$B$1,"←Perm","")</f>
        <v/>
      </c>
      <c r="I5" s="16"/>
      <c r="J5" s="10"/>
      <c r="Z5" s="139"/>
      <c r="AA5" s="320">
        <f>INDEX(t_B3n3_Fixed[Offset],MATCH($A$5,t_B3n3[x],0),1)</f>
        <v>-13</v>
      </c>
      <c r="AB5" s="314">
        <v>0</v>
      </c>
      <c r="AC5" s="342" t="s">
        <v>56</v>
      </c>
      <c r="AD5" s="27" t="s">
        <v>0</v>
      </c>
      <c r="AF5" s="139"/>
      <c r="AG5" s="139">
        <f>INDEX(t_B3n3_Fixed[Offset],MATCH($A$6,t_B3n3[x],0),1)</f>
        <v>-12</v>
      </c>
      <c r="AH5" s="139">
        <v>1</v>
      </c>
      <c r="AI5" s="255" t="s">
        <v>58</v>
      </c>
      <c r="AJ5" s="16"/>
      <c r="AK5" s="17"/>
      <c r="AL5" s="139"/>
      <c r="AM5" s="139">
        <f>INDEX(t_B3n3_Fixed[Offset],MATCH($A$7,t_B3n3[x],0),1)</f>
        <v>-11</v>
      </c>
      <c r="AN5" s="139">
        <v>0</v>
      </c>
      <c r="AO5" s="139">
        <v>2</v>
      </c>
      <c r="AP5" s="274" t="s">
        <v>188</v>
      </c>
      <c r="AQ5" s="16"/>
      <c r="AR5" s="17"/>
      <c r="AS5" s="139"/>
      <c r="AT5" s="139">
        <f>INDEX(t_B3n3_Fixed[Offset],MATCH($A$9,t_B3n3[x],0),1)</f>
        <v>-9</v>
      </c>
      <c r="AU5" s="139">
        <v>4</v>
      </c>
      <c r="AV5" s="276" t="s">
        <v>189</v>
      </c>
      <c r="AW5" s="16"/>
      <c r="AX5" s="17"/>
      <c r="AY5" s="139"/>
      <c r="AZ5" s="139">
        <f>INDEX(t_B3n3_Fixed[Offset],MATCH($A$10,t_B3n3[x],0),1)</f>
        <v>-8</v>
      </c>
      <c r="BA5" s="139">
        <v>0</v>
      </c>
      <c r="BB5" s="139">
        <v>5</v>
      </c>
      <c r="BC5" s="277" t="s">
        <v>190</v>
      </c>
      <c r="BD5" s="16"/>
    </row>
    <row r="6" spans="1:95" ht="15.75" thickBot="1" x14ac:dyDescent="0.3">
      <c r="A6" s="139">
        <v>1</v>
      </c>
      <c r="B6" s="139">
        <f>ROUNDUP(t_B3n3_Fixed[[#This Row],[Row]]-$B$3,0)</f>
        <v>-12</v>
      </c>
      <c r="C6" s="12">
        <f>t_B3n3[[#This Row],[x]]-D5</f>
        <v>1</v>
      </c>
      <c r="D6" s="9">
        <v>1</v>
      </c>
      <c r="E6" s="42">
        <f>MOD(INT(t_B3n3[[#This Row],[x]]/$B$1^INT(RIGHT(t_B3n3[[#Headers],[b2]],1))),$B$1)</f>
        <v>0</v>
      </c>
      <c r="F6" s="42">
        <f>MOD(INT(t_B3n3[[#This Row],[x]]/$B$1^INT(RIGHT(t_B3n3[[#Headers],[b1]],1))),$B$1)</f>
        <v>0</v>
      </c>
      <c r="G6" s="43">
        <f>MOD(INT(t_B3n3[[#This Row],[x]]/$B$1^INT(RIGHT(t_B3n3[[#Headers],[b0]],1))),$B$1)</f>
        <v>1</v>
      </c>
      <c r="H6" s="4" t="str">
        <f t="array" ref="H6">IF(SUM(IF(COUNTIF(t_B3n3[[#This Row],[b2]:[b0]],t_B3n3[[#This Row],[b2]:[b0]])=1,1,0))=$B$1,"←Perm","")</f>
        <v/>
      </c>
      <c r="I6" s="16"/>
      <c r="J6" s="123"/>
      <c r="K6" s="34" t="s">
        <v>21</v>
      </c>
      <c r="L6" s="35" t="s">
        <v>5</v>
      </c>
      <c r="Z6" s="139">
        <f>t_B3n3_AB1[[#This Row],[Offset]]-AA5</f>
        <v>26</v>
      </c>
      <c r="AA6" s="325">
        <f>INDEX(t_B3n3_Fixed[Offset],MATCH($A$31,t_B3n3[x],0),1)</f>
        <v>13</v>
      </c>
      <c r="AB6" s="317">
        <v>26</v>
      </c>
      <c r="AC6" s="344" t="s">
        <v>209</v>
      </c>
      <c r="AF6" s="139">
        <f>t_B3n3_AB2[[#This Row],[Offset]]-AG5</f>
        <v>2</v>
      </c>
      <c r="AG6" s="139">
        <f>INDEX(t_B3n3_Fixed[Offset],MATCH($A$8,t_B3n3[x],0),1)</f>
        <v>-10</v>
      </c>
      <c r="AH6" s="139">
        <v>3</v>
      </c>
      <c r="AI6" s="255" t="s">
        <v>59</v>
      </c>
      <c r="AJ6" s="16"/>
      <c r="AK6" s="17"/>
      <c r="AL6" s="139">
        <f>t_B3n3_AB3[[#This Row],[Offset]]-AM5</f>
        <v>4</v>
      </c>
      <c r="AM6" s="139">
        <f>INDEX(t_B3n3_Fixed[Offset],MATCH($A$11,t_B3n3[x],0),1)</f>
        <v>-7</v>
      </c>
      <c r="AN6" s="139">
        <v>1</v>
      </c>
      <c r="AO6" s="139">
        <v>6</v>
      </c>
      <c r="AP6" s="274" t="s">
        <v>191</v>
      </c>
      <c r="AQ6" s="16"/>
      <c r="AR6" s="17"/>
      <c r="AS6" s="139">
        <f>t_B3n3_AB4[[#This Row],[Offset]]-AT5</f>
        <v>6</v>
      </c>
      <c r="AT6" s="139">
        <f>INDEX(t_B3n3_Fixed[Offset],MATCH($A$15,t_B3n3[x],0),1)</f>
        <v>-3</v>
      </c>
      <c r="AU6" s="139">
        <v>10</v>
      </c>
      <c r="AV6" s="276" t="s">
        <v>194</v>
      </c>
      <c r="AW6" s="16"/>
      <c r="AX6" s="17"/>
      <c r="AY6" s="139">
        <f>t_B3n3_AB5[[#This Row],[Offset]]-AZ5</f>
        <v>2</v>
      </c>
      <c r="AZ6" s="139">
        <f>INDEX(t_B3n3_Fixed[Offset],MATCH($A$12,t_B3n3[x],0),1)</f>
        <v>-6</v>
      </c>
      <c r="BA6" s="139">
        <v>3</v>
      </c>
      <c r="BB6" s="139">
        <v>7</v>
      </c>
      <c r="BC6" s="278" t="s">
        <v>192</v>
      </c>
      <c r="BD6" s="16"/>
    </row>
    <row r="7" spans="1:95" ht="15.75" thickBot="1" x14ac:dyDescent="0.3">
      <c r="A7" s="139">
        <v>2</v>
      </c>
      <c r="B7" s="139">
        <f>ROUNDUP(t_B3n3_Fixed[[#This Row],[Row]]-$B$3,0)</f>
        <v>-11</v>
      </c>
      <c r="C7" s="12">
        <f>t_B3n3[[#This Row],[x]]-D6</f>
        <v>1</v>
      </c>
      <c r="D7" s="9">
        <v>2</v>
      </c>
      <c r="E7" s="44">
        <f>MOD(INT(t_B3n3[[#This Row],[x]]/$B$1^INT(RIGHT(t_B3n3[[#Headers],[b2]],1))),$B$1)</f>
        <v>0</v>
      </c>
      <c r="F7" s="44">
        <f>MOD(INT(t_B3n3[[#This Row],[x]]/$B$1^INT(RIGHT(t_B3n3[[#Headers],[b1]],1))),$B$1)</f>
        <v>0</v>
      </c>
      <c r="G7" s="45">
        <f>MOD(INT(t_B3n3[[#This Row],[x]]/$B$1^INT(RIGHT(t_B3n3[[#Headers],[b0]],1))),$B$1)</f>
        <v>2</v>
      </c>
      <c r="H7" s="4" t="str">
        <f t="array" ref="H7">IF(SUM(IF(COUNTIF(t_B3n3[[#This Row],[b2]:[b0]],t_B3n3[[#This Row],[b2]:[b0]])=1,1,0))=$B$1,"←Perm","")</f>
        <v/>
      </c>
      <c r="I7" s="16"/>
      <c r="J7" s="123"/>
      <c r="K7" s="32" t="s">
        <v>13</v>
      </c>
      <c r="L7" s="33">
        <v>1</v>
      </c>
      <c r="N7" s="89" t="s">
        <v>33</v>
      </c>
      <c r="O7" s="107" t="s">
        <v>34</v>
      </c>
      <c r="Z7" s="17"/>
      <c r="AA7" s="17"/>
      <c r="AB7" s="17"/>
      <c r="AC7" s="17"/>
      <c r="AF7" s="139">
        <f>t_B3n3_AB2[[#This Row],[Offset]]-AG6</f>
        <v>6</v>
      </c>
      <c r="AG7" s="6">
        <f>INDEX(t_B3n3_Fixed[Offset],MATCH($A$14,t_B3n3[x],0),1)</f>
        <v>-4</v>
      </c>
      <c r="AH7" s="6">
        <v>9</v>
      </c>
      <c r="AI7" s="295" t="s">
        <v>60</v>
      </c>
      <c r="AJ7" s="25" t="s">
        <v>0</v>
      </c>
      <c r="AK7" s="17"/>
      <c r="AL7" s="139">
        <f>t_B3n3_AB3[[#This Row],[Offset]]-AM6</f>
        <v>2</v>
      </c>
      <c r="AM7" s="6">
        <f>INDEX(t_B3n3_Fixed[Offset],MATCH($A$13,t_B3n3[x],0),1)</f>
        <v>-5</v>
      </c>
      <c r="AN7" s="6">
        <v>3</v>
      </c>
      <c r="AO7" s="6">
        <v>8</v>
      </c>
      <c r="AP7" s="311" t="s">
        <v>193</v>
      </c>
      <c r="AQ7" s="25" t="s">
        <v>0</v>
      </c>
      <c r="AR7" s="17"/>
      <c r="AS7" s="139">
        <f>t_B3n3_AB4[[#This Row],[Offset]]-AT6</f>
        <v>2</v>
      </c>
      <c r="AT7" s="6">
        <f>INDEX(t_B3n3_Fixed[Offset],MATCH($A$17,t_B3n3[x],0),1)</f>
        <v>-1</v>
      </c>
      <c r="AU7" s="6">
        <v>12</v>
      </c>
      <c r="AV7" s="298" t="s">
        <v>196</v>
      </c>
      <c r="AW7" s="25" t="s">
        <v>0</v>
      </c>
      <c r="AX7" s="17"/>
      <c r="AY7" s="139">
        <f>t_B3n3_AB5[[#This Row],[Offset]]-AZ6</f>
        <v>4</v>
      </c>
      <c r="AZ7" s="6">
        <f>INDEX(t_B3n3_Fixed[Offset],MATCH($A$16,t_B3n3[x],0),1)</f>
        <v>-2</v>
      </c>
      <c r="BA7" s="6">
        <v>4</v>
      </c>
      <c r="BB7" s="6">
        <v>11</v>
      </c>
      <c r="BC7" s="307" t="s">
        <v>195</v>
      </c>
      <c r="BD7" s="25" t="s">
        <v>0</v>
      </c>
    </row>
    <row r="8" spans="1:95" ht="15.75" thickBot="1" x14ac:dyDescent="0.3">
      <c r="A8" s="139">
        <v>3</v>
      </c>
      <c r="B8" s="139">
        <f>ROUNDUP(t_B3n3_Fixed[[#This Row],[Row]]-$B$3,0)</f>
        <v>-10</v>
      </c>
      <c r="C8" s="12">
        <f>t_B3n3[[#This Row],[x]]-D7</f>
        <v>1</v>
      </c>
      <c r="D8" s="9">
        <v>3</v>
      </c>
      <c r="E8" s="42">
        <f>MOD(INT(t_B3n3[[#This Row],[x]]/$B$1^INT(RIGHT(t_B3n3[[#Headers],[b2]],1))),$B$1)</f>
        <v>0</v>
      </c>
      <c r="F8" s="42">
        <f>MOD(INT(t_B3n3[[#This Row],[x]]/$B$1^INT(RIGHT(t_B3n3[[#Headers],[b1]],1))),$B$1)</f>
        <v>1</v>
      </c>
      <c r="G8" s="43">
        <f>MOD(INT(t_B3n3[[#This Row],[x]]/$B$1^INT(RIGHT(t_B3n3[[#Headers],[b0]],1))),$B$1)</f>
        <v>0</v>
      </c>
      <c r="H8" s="4" t="str">
        <f t="array" ref="H8">IF(SUM(IF(COUNTIF(t_B3n3[[#This Row],[b2]:[b0]],t_B3n3[[#This Row],[b2]:[b0]])=1,1,0))=$B$1,"←Perm","")</f>
        <v/>
      </c>
      <c r="I8" s="16"/>
      <c r="J8" s="123"/>
      <c r="K8" s="36" t="s">
        <v>17</v>
      </c>
      <c r="L8" s="37">
        <v>4</v>
      </c>
      <c r="N8" s="90" t="s">
        <v>36</v>
      </c>
      <c r="O8" s="96" t="s">
        <v>37</v>
      </c>
      <c r="Q8" s="91" t="s">
        <v>39</v>
      </c>
      <c r="R8" s="97" t="s">
        <v>40</v>
      </c>
      <c r="T8" s="92" t="s">
        <v>41</v>
      </c>
      <c r="U8" s="183" t="s">
        <v>42</v>
      </c>
      <c r="W8" s="93" t="s">
        <v>43</v>
      </c>
      <c r="X8" s="99" t="s">
        <v>44</v>
      </c>
      <c r="Z8" s="17"/>
      <c r="AA8" s="17"/>
      <c r="AB8" s="17"/>
      <c r="AC8" s="17"/>
      <c r="AF8" s="139">
        <f>t_B3n3_AB2[[#This Row],[Offset]]-AG7</f>
        <v>8</v>
      </c>
      <c r="AG8" s="139">
        <f>INDEX(t_B3n3_Fixed[Offset],MATCH($A$22,t_B3n3[x],0),1)</f>
        <v>4</v>
      </c>
      <c r="AH8" s="139">
        <v>17</v>
      </c>
      <c r="AI8" s="273" t="s">
        <v>200</v>
      </c>
      <c r="AJ8" s="16"/>
      <c r="AK8" s="17"/>
      <c r="AL8" s="139">
        <f>t_B3n3_AB3[[#This Row],[Offset]]-AM7</f>
        <v>10</v>
      </c>
      <c r="AM8" s="139">
        <f>INDEX(t_B3n3_Fixed[Offset],MATCH($A$23,t_B3n3[x],0),1)</f>
        <v>5</v>
      </c>
      <c r="AN8" s="139">
        <v>2</v>
      </c>
      <c r="AO8" s="139">
        <v>18</v>
      </c>
      <c r="AP8" s="274" t="s">
        <v>201</v>
      </c>
      <c r="AQ8" s="16"/>
      <c r="AR8" s="17"/>
      <c r="AS8" s="139">
        <f>t_B3n3_AB4[[#This Row],[Offset]]-AT7</f>
        <v>2</v>
      </c>
      <c r="AT8" s="139">
        <f>INDEX(t_B3n3_Fixed[Offset],MATCH($A$19,t_B3n3[x],0),1)</f>
        <v>1</v>
      </c>
      <c r="AU8" s="139">
        <v>14</v>
      </c>
      <c r="AV8" s="226" t="s">
        <v>197</v>
      </c>
      <c r="AW8" s="16"/>
      <c r="AX8" s="17"/>
      <c r="AY8" s="139">
        <f>t_B3n3_AB5[[#This Row],[Offset]]-AZ7</f>
        <v>4</v>
      </c>
      <c r="AZ8" s="139">
        <f>INDEX(t_B3n3_Fixed[Offset],MATCH($A$20,t_B3n3[x],0),1)</f>
        <v>2</v>
      </c>
      <c r="BA8" s="139">
        <v>1</v>
      </c>
      <c r="BB8" s="139">
        <v>15</v>
      </c>
      <c r="BC8" s="277" t="s">
        <v>198</v>
      </c>
      <c r="BD8" s="16"/>
    </row>
    <row r="9" spans="1:95" x14ac:dyDescent="0.25">
      <c r="A9" s="139">
        <v>4</v>
      </c>
      <c r="B9" s="139">
        <f>ROUNDUP(t_B3n3_Fixed[[#This Row],[Row]]-$B$3,0)</f>
        <v>-9</v>
      </c>
      <c r="C9" s="12">
        <f>t_B3n3[[#This Row],[x]]-D8</f>
        <v>1</v>
      </c>
      <c r="D9" s="1">
        <v>4</v>
      </c>
      <c r="E9" s="85">
        <f>MOD(INT(t_B3n3[[#This Row],[x]]/$B$1^INT(RIGHT(t_B3n3[[#Headers],[b2]],1))),$B$1)</f>
        <v>0</v>
      </c>
      <c r="F9" s="85">
        <f>MOD(INT(t_B3n3[[#This Row],[x]]/$B$1^INT(RIGHT(t_B3n3[[#Headers],[b1]],1))),$B$1)</f>
        <v>1</v>
      </c>
      <c r="G9" s="86">
        <f>MOD(INT(t_B3n3[[#This Row],[x]]/$B$1^INT(RIGHT(t_B3n3[[#Headers],[b0]],1))),$B$1)</f>
        <v>1</v>
      </c>
      <c r="H9" s="4" t="str">
        <f t="array" ref="H9">IF(SUM(IF(COUNTIF(t_B3n3[[#This Row],[b2]:[b0]],t_B3n3[[#This Row],[b2]:[b0]])=1,1,0))=$B$1,"←Perm","")</f>
        <v/>
      </c>
      <c r="I9" s="16"/>
      <c r="J9" s="29"/>
      <c r="K9" s="113" t="s">
        <v>15</v>
      </c>
      <c r="L9" s="114">
        <f>SUM(L7:L8)</f>
        <v>5</v>
      </c>
      <c r="Z9" s="17"/>
      <c r="AA9" s="17"/>
      <c r="AB9" s="17"/>
      <c r="AC9" s="17"/>
      <c r="AF9" s="139">
        <f>t_B3n3_AB2[[#This Row],[Offset]]-AG8</f>
        <v>6</v>
      </c>
      <c r="AG9" s="139">
        <f>INDEX(t_B3n3_Fixed[Offset],MATCH($A$28,t_B3n3[x],0),1)</f>
        <v>10</v>
      </c>
      <c r="AH9" s="139">
        <v>23</v>
      </c>
      <c r="AI9" s="273" t="s">
        <v>206</v>
      </c>
      <c r="AJ9" s="16"/>
      <c r="AK9" s="17"/>
      <c r="AL9" s="139">
        <f>t_B3n3_AB3[[#This Row],[Offset]]-AM8</f>
        <v>2</v>
      </c>
      <c r="AM9" s="139">
        <f>INDEX(t_B3n3_Fixed[Offset],MATCH($A$25,t_B3n3[x],0),1)</f>
        <v>7</v>
      </c>
      <c r="AN9" s="139">
        <v>4</v>
      </c>
      <c r="AO9" s="139">
        <v>20</v>
      </c>
      <c r="AP9" s="275" t="s">
        <v>203</v>
      </c>
      <c r="AQ9" s="16"/>
      <c r="AR9" s="17"/>
      <c r="AS9" s="139">
        <f>t_B3n3_AB4[[#This Row],[Offset]]-AT8</f>
        <v>2</v>
      </c>
      <c r="AT9" s="139">
        <f>INDEX(t_B3n3_Fixed[Offset],MATCH($A$21,t_B3n3[x],0),1)</f>
        <v>3</v>
      </c>
      <c r="AU9" s="139">
        <v>16</v>
      </c>
      <c r="AV9" s="226" t="s">
        <v>199</v>
      </c>
      <c r="AW9" s="16"/>
      <c r="AX9" s="17"/>
      <c r="AY9" s="139">
        <f>t_B3n3_AB5[[#This Row],[Offset]]-AZ8</f>
        <v>4</v>
      </c>
      <c r="AZ9" s="139">
        <f>INDEX(t_B3n3_Fixed[Offset],MATCH($A$24,t_B3n3[x],0),1)</f>
        <v>6</v>
      </c>
      <c r="BA9" s="139">
        <v>2</v>
      </c>
      <c r="BB9" s="139">
        <v>19</v>
      </c>
      <c r="BC9" s="277" t="s">
        <v>202</v>
      </c>
      <c r="BD9" s="16"/>
    </row>
    <row r="10" spans="1:95" ht="15.75" thickBot="1" x14ac:dyDescent="0.3">
      <c r="A10" s="139">
        <v>5</v>
      </c>
      <c r="B10" s="139">
        <f>ROUNDUP(t_B3n3_Fixed[[#This Row],[Row]]-$B$3,0)</f>
        <v>-8</v>
      </c>
      <c r="C10" s="12">
        <f>t_B3n3[[#This Row],[x]]-D9</f>
        <v>1</v>
      </c>
      <c r="D10" s="9">
        <v>5</v>
      </c>
      <c r="E10" s="87">
        <f>MOD(INT(t_B3n3[[#This Row],[x]]/$B$1^INT(RIGHT(t_B3n3[[#Headers],[b2]],1))),$B$1)</f>
        <v>0</v>
      </c>
      <c r="F10" s="87">
        <f>MOD(INT(t_B3n3[[#This Row],[x]]/$B$1^INT(RIGHT(t_B3n3[[#Headers],[b1]],1))),$B$1)</f>
        <v>1</v>
      </c>
      <c r="G10" s="88">
        <f>MOD(INT(t_B3n3[[#This Row],[x]]/$B$1^INT(RIGHT(t_B3n3[[#Headers],[b0]],1))),$B$1)</f>
        <v>2</v>
      </c>
      <c r="H10" s="4" t="str">
        <f t="array" ref="H10">IF(SUM(IF(COUNTIF(t_B3n3[[#This Row],[b2]:[b0]],t_B3n3[[#This Row],[b2]:[b0]])=1,1,0))=$B$1,"←Perm","")</f>
        <v>←Perm</v>
      </c>
      <c r="I10" s="16"/>
      <c r="J10" s="29"/>
      <c r="K10" s="115" t="s">
        <v>16</v>
      </c>
      <c r="L10" s="117">
        <v>10</v>
      </c>
      <c r="Z10" s="17"/>
      <c r="AA10" s="17"/>
      <c r="AB10" s="17"/>
      <c r="AC10" s="17"/>
      <c r="AF10" s="139">
        <f>t_B3n3_AB2[[#This Row],[Offset]]-AG9</f>
        <v>2</v>
      </c>
      <c r="AG10" s="139">
        <f>INDEX(t_B3n3_Fixed[Offset],MATCH($A$30,t_B3n3[x],0),1)</f>
        <v>12</v>
      </c>
      <c r="AH10" s="139">
        <v>25</v>
      </c>
      <c r="AI10" s="273" t="s">
        <v>208</v>
      </c>
      <c r="AJ10" s="16"/>
      <c r="AK10" s="17"/>
      <c r="AL10" s="139">
        <f>t_B3n3_AB3[[#This Row],[Offset]]-AM9</f>
        <v>4</v>
      </c>
      <c r="AM10" s="139">
        <f>INDEX(t_B3n3_Fixed[Offset],MATCH($A$29,t_B3n3[x],0),1)</f>
        <v>11</v>
      </c>
      <c r="AN10" s="139">
        <v>5</v>
      </c>
      <c r="AO10" s="139">
        <v>24</v>
      </c>
      <c r="AP10" s="275" t="s">
        <v>207</v>
      </c>
      <c r="AQ10" s="16"/>
      <c r="AR10" s="17"/>
      <c r="AS10" s="139">
        <f>t_B3n3_AB4[[#This Row],[Offset]]-AT9</f>
        <v>6</v>
      </c>
      <c r="AT10" s="139">
        <f>INDEX(t_B3n3_Fixed[Offset],MATCH($A$27,t_B3n3[x],0),1)</f>
        <v>9</v>
      </c>
      <c r="AU10" s="139">
        <v>22</v>
      </c>
      <c r="AV10" s="226" t="s">
        <v>205</v>
      </c>
      <c r="AW10" s="16"/>
      <c r="AX10" s="17"/>
      <c r="AY10" s="139">
        <f>t_B3n3_AB5[[#This Row],[Offset]]-AZ9</f>
        <v>2</v>
      </c>
      <c r="AZ10" s="139">
        <f>INDEX(t_B3n3_Fixed[Offset],MATCH($A$26,t_B3n3[x],0),1)</f>
        <v>8</v>
      </c>
      <c r="BA10" s="139">
        <v>5</v>
      </c>
      <c r="BB10" s="139">
        <v>21</v>
      </c>
      <c r="BC10" s="278" t="s">
        <v>204</v>
      </c>
      <c r="BD10" s="16"/>
    </row>
    <row r="11" spans="1:95" x14ac:dyDescent="0.25">
      <c r="A11" s="139">
        <v>6</v>
      </c>
      <c r="B11" s="139">
        <f>ROUNDUP(t_B3n3_Fixed[[#This Row],[Row]]-$B$3,0)</f>
        <v>-7</v>
      </c>
      <c r="C11" s="12">
        <f>t_B3n3[[#This Row],[x]]-D10</f>
        <v>1</v>
      </c>
      <c r="D11" s="1">
        <v>6</v>
      </c>
      <c r="E11" s="44">
        <f>MOD(INT(t_B3n3[[#This Row],[x]]/$B$1^INT(RIGHT(t_B3n3[[#Headers],[b2]],1))),$B$1)</f>
        <v>0</v>
      </c>
      <c r="F11" s="44">
        <f>MOD(INT(t_B3n3[[#This Row],[x]]/$B$1^INT(RIGHT(t_B3n3[[#Headers],[b1]],1))),$B$1)</f>
        <v>2</v>
      </c>
      <c r="G11" s="45">
        <f>MOD(INT(t_B3n3[[#This Row],[x]]/$B$1^INT(RIGHT(t_B3n3[[#Headers],[b0]],1))),$B$1)</f>
        <v>0</v>
      </c>
      <c r="H11" s="4" t="str">
        <f t="array" ref="H11">IF(SUM(IF(COUNTIF(t_B3n3[[#This Row],[b2]:[b0]],t_B3n3[[#This Row],[b2]:[b0]])=1,1,0))=$B$1,"←Perm","")</f>
        <v/>
      </c>
      <c r="I11" s="16"/>
      <c r="J11" s="123"/>
      <c r="L11" s="17"/>
      <c r="Z11" s="17"/>
      <c r="AA11" s="17"/>
      <c r="AB11" s="17"/>
      <c r="AC11" s="17"/>
      <c r="AF11" s="17"/>
      <c r="AG11" s="17"/>
      <c r="AH11" s="17"/>
      <c r="AI11" s="17"/>
      <c r="AJ11" s="16"/>
      <c r="AK11" s="17"/>
      <c r="AL11" s="17"/>
      <c r="AM11" s="17"/>
      <c r="AN11" s="17"/>
      <c r="AP11" s="17"/>
      <c r="AQ11" s="16"/>
      <c r="AR11" s="17"/>
      <c r="AS11" s="17"/>
      <c r="AT11" s="17"/>
      <c r="AU11" s="17"/>
      <c r="AV11" s="17"/>
      <c r="AW11" s="16"/>
      <c r="AX11" s="17"/>
      <c r="AY11" s="17"/>
      <c r="AZ11" s="17"/>
      <c r="BA11" s="17"/>
      <c r="BC11" s="17"/>
      <c r="BD11" s="16"/>
    </row>
    <row r="12" spans="1:95" x14ac:dyDescent="0.25">
      <c r="A12" s="139">
        <v>7</v>
      </c>
      <c r="B12" s="139">
        <f>ROUNDUP(t_B3n3_Fixed[[#This Row],[Row]]-$B$3,0)</f>
        <v>-6</v>
      </c>
      <c r="C12" s="12">
        <f>t_B3n3[[#This Row],[x]]-D11</f>
        <v>1</v>
      </c>
      <c r="D12" s="9">
        <v>7</v>
      </c>
      <c r="E12" s="60">
        <f>MOD(INT(t_B3n3[[#This Row],[x]]/$B$1^INT(RIGHT(t_B3n3[[#Headers],[b2]],1))),$B$1)</f>
        <v>0</v>
      </c>
      <c r="F12" s="60">
        <f>MOD(INT(t_B3n3[[#This Row],[x]]/$B$1^INT(RIGHT(t_B3n3[[#Headers],[b1]],1))),$B$1)</f>
        <v>2</v>
      </c>
      <c r="G12" s="61">
        <f>MOD(INT(t_B3n3[[#This Row],[x]]/$B$1^INT(RIGHT(t_B3n3[[#Headers],[b0]],1))),$B$1)</f>
        <v>1</v>
      </c>
      <c r="H12" s="4" t="str">
        <f t="array" ref="H12">IF(SUM(IF(COUNTIF(t_B3n3[[#This Row],[b2]:[b0]],t_B3n3[[#This Row],[b2]:[b0]])=1,1,0))=$B$1,"←Perm","")</f>
        <v>←Perm</v>
      </c>
      <c r="I12" s="16"/>
      <c r="J12" s="123"/>
      <c r="L12" s="17"/>
      <c r="Z12" s="17"/>
      <c r="AA12" s="17"/>
      <c r="AB12" s="17"/>
      <c r="AC12" s="17"/>
      <c r="AF12" s="17"/>
      <c r="AG12" s="17"/>
      <c r="AH12" s="17"/>
      <c r="AI12" s="17"/>
      <c r="AJ12" s="16"/>
      <c r="AK12" s="17"/>
      <c r="AL12" s="17"/>
      <c r="AM12" s="17"/>
      <c r="AN12" s="17"/>
      <c r="AP12" s="17"/>
      <c r="AQ12" s="16"/>
      <c r="AR12" s="17"/>
      <c r="AS12" s="17"/>
      <c r="AT12" s="17"/>
      <c r="AU12" s="17"/>
      <c r="AV12" s="17"/>
      <c r="AW12" s="16"/>
      <c r="AX12" s="17"/>
      <c r="AY12" s="17"/>
      <c r="AZ12" s="17"/>
      <c r="BA12" s="17"/>
      <c r="BC12" s="17"/>
      <c r="BD12" s="16"/>
    </row>
    <row r="13" spans="1:95" x14ac:dyDescent="0.25">
      <c r="A13" s="139">
        <v>8</v>
      </c>
      <c r="B13" s="139">
        <f>ROUNDUP(t_B3n3_Fixed[[#This Row],[Row]]-$B$3,0)</f>
        <v>-5</v>
      </c>
      <c r="C13" s="12">
        <f>t_B3n3[[#This Row],[x]]-D12</f>
        <v>1</v>
      </c>
      <c r="D13" s="1">
        <v>8</v>
      </c>
      <c r="E13" s="38">
        <f>MOD(INT(t_B3n3[[#This Row],[x]]/$B$1^INT(RIGHT(t_B3n3[[#Headers],[b2]],1))),$B$1)</f>
        <v>0</v>
      </c>
      <c r="F13" s="38">
        <f>MOD(INT(t_B3n3[[#This Row],[x]]/$B$1^INT(RIGHT(t_B3n3[[#Headers],[b1]],1))),$B$1)</f>
        <v>2</v>
      </c>
      <c r="G13" s="39">
        <f>MOD(INT(t_B3n3[[#This Row],[x]]/$B$1^INT(RIGHT(t_B3n3[[#Headers],[b0]],1))),$B$1)</f>
        <v>2</v>
      </c>
      <c r="H13" s="4" t="str">
        <f t="array" ref="H13">IF(SUM(IF(COUNTIF(t_B3n3[[#This Row],[b2]:[b0]],t_B3n3[[#This Row],[b2]:[b0]])=1,1,0))=$B$1,"←Perm","")</f>
        <v/>
      </c>
      <c r="I13" s="16"/>
      <c r="J13" s="29"/>
      <c r="L13" s="17"/>
      <c r="Z13" s="17"/>
      <c r="AA13" s="17"/>
      <c r="AB13" s="17"/>
      <c r="AC13" s="17"/>
      <c r="AE13" s="17"/>
      <c r="AF13" s="17"/>
      <c r="AG13" s="17"/>
      <c r="AH13" s="17"/>
      <c r="AI13" s="17"/>
      <c r="AJ13" s="16"/>
      <c r="AK13" s="17"/>
      <c r="AL13" s="17"/>
      <c r="AM13" s="17"/>
      <c r="AN13" s="17"/>
      <c r="AP13" s="17"/>
      <c r="AQ13" s="16"/>
      <c r="AR13" s="17"/>
      <c r="AS13" s="17"/>
      <c r="AT13" s="17"/>
      <c r="AU13" s="17"/>
      <c r="AV13" s="17"/>
      <c r="AW13" s="16"/>
      <c r="AX13" s="17"/>
      <c r="AY13" s="17"/>
      <c r="AZ13" s="17"/>
      <c r="BA13" s="17"/>
      <c r="BC13" s="17"/>
      <c r="BD13" s="16"/>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row>
    <row r="14" spans="1:95" x14ac:dyDescent="0.25">
      <c r="A14" s="139">
        <v>9</v>
      </c>
      <c r="B14" s="139">
        <f>ROUNDUP(t_B3n3_Fixed[[#This Row],[Row]]-$B$3,0)</f>
        <v>-4</v>
      </c>
      <c r="C14" s="12">
        <f>t_B3n3[[#This Row],[x]]-D13</f>
        <v>1</v>
      </c>
      <c r="D14" s="9">
        <v>9</v>
      </c>
      <c r="E14" s="42">
        <f>MOD(INT(t_B3n3[[#This Row],[x]]/$B$1^INT(RIGHT(t_B3n3[[#Headers],[b2]],1))),$B$1)</f>
        <v>1</v>
      </c>
      <c r="F14" s="42">
        <f>MOD(INT(t_B3n3[[#This Row],[x]]/$B$1^INT(RIGHT(t_B3n3[[#Headers],[b1]],1))),$B$1)</f>
        <v>0</v>
      </c>
      <c r="G14" s="43">
        <f>MOD(INT(t_B3n3[[#This Row],[x]]/$B$1^INT(RIGHT(t_B3n3[[#Headers],[b0]],1))),$B$1)</f>
        <v>0</v>
      </c>
      <c r="H14" s="4" t="str">
        <f t="array" ref="H14">IF(SUM(IF(COUNTIF(t_B3n3[[#This Row],[b2]:[b0]],t_B3n3[[#This Row],[b2]:[b0]])=1,1,0))=$B$1,"←Perm","")</f>
        <v/>
      </c>
      <c r="I14" s="16"/>
      <c r="J14" s="123"/>
      <c r="L14" s="17"/>
      <c r="Z14" s="17"/>
      <c r="AA14" s="17"/>
      <c r="AB14" s="17"/>
      <c r="AC14" s="17"/>
      <c r="AE14" s="17"/>
      <c r="AF14" s="17"/>
      <c r="AG14" s="17"/>
      <c r="AH14" s="17"/>
      <c r="AI14" s="17"/>
      <c r="AJ14" s="16"/>
      <c r="AK14" s="17"/>
      <c r="AL14" s="17"/>
      <c r="AM14" s="17"/>
      <c r="AN14" s="17"/>
      <c r="AP14" s="17"/>
      <c r="AQ14" s="16"/>
      <c r="AR14" s="17"/>
      <c r="AS14" s="17"/>
      <c r="AT14" s="17"/>
      <c r="AU14" s="17"/>
      <c r="AV14" s="17"/>
      <c r="AW14" s="16"/>
      <c r="AX14" s="17"/>
      <c r="AY14" s="17"/>
      <c r="AZ14" s="17"/>
      <c r="BA14" s="17"/>
      <c r="BC14" s="17"/>
      <c r="BD14" s="16"/>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row>
    <row r="15" spans="1:95" x14ac:dyDescent="0.25">
      <c r="A15" s="139">
        <v>10</v>
      </c>
      <c r="B15" s="139">
        <f>ROUNDUP(t_B3n3_Fixed[[#This Row],[Row]]-$B$3,0)</f>
        <v>-3</v>
      </c>
      <c r="C15" s="12">
        <f>t_B3n3[[#This Row],[x]]-D14</f>
        <v>1</v>
      </c>
      <c r="D15" s="1">
        <v>10</v>
      </c>
      <c r="E15" s="85">
        <f>MOD(INT(t_B3n3[[#This Row],[x]]/$B$1^INT(RIGHT(t_B3n3[[#Headers],[b2]],1))),$B$1)</f>
        <v>1</v>
      </c>
      <c r="F15" s="85">
        <f>MOD(INT(t_B3n3[[#This Row],[x]]/$B$1^INT(RIGHT(t_B3n3[[#Headers],[b1]],1))),$B$1)</f>
        <v>0</v>
      </c>
      <c r="G15" s="86">
        <f>MOD(INT(t_B3n3[[#This Row],[x]]/$B$1^INT(RIGHT(t_B3n3[[#Headers],[b0]],1))),$B$1)</f>
        <v>1</v>
      </c>
      <c r="H15" s="4" t="str">
        <f t="array" ref="H15">IF(SUM(IF(COUNTIF(t_B3n3[[#This Row],[b2]:[b0]],t_B3n3[[#This Row],[b2]:[b0]])=1,1,0))=$B$1,"←Perm","")</f>
        <v/>
      </c>
      <c r="I15" s="16"/>
      <c r="J15" s="29"/>
      <c r="L15" s="17"/>
      <c r="Z15" s="17"/>
      <c r="AA15" s="17"/>
      <c r="AB15" s="17"/>
      <c r="AC15" s="17"/>
      <c r="AE15" s="17"/>
      <c r="AF15" s="17"/>
      <c r="AG15" s="17"/>
      <c r="AH15" s="17"/>
      <c r="AI15" s="17"/>
      <c r="AJ15" s="16"/>
      <c r="AK15" s="17"/>
      <c r="AL15" s="17"/>
      <c r="AM15" s="17"/>
      <c r="AN15" s="17"/>
      <c r="AP15" s="17"/>
      <c r="AQ15" s="16"/>
      <c r="AR15" s="17"/>
      <c r="AS15" s="17"/>
      <c r="AT15" s="17"/>
      <c r="AU15" s="17"/>
      <c r="AV15" s="17"/>
      <c r="AW15" s="16"/>
      <c r="AX15" s="17"/>
      <c r="AY15" s="17"/>
      <c r="AZ15" s="17"/>
      <c r="BA15" s="17"/>
      <c r="BC15" s="17"/>
      <c r="BD15" s="16"/>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row>
    <row r="16" spans="1:95" x14ac:dyDescent="0.25">
      <c r="A16" s="139">
        <v>11</v>
      </c>
      <c r="B16" s="139">
        <f>ROUNDUP(t_B3n3_Fixed[[#This Row],[Row]]-$B$3,0)</f>
        <v>-2</v>
      </c>
      <c r="C16" s="12">
        <f>t_B3n3[[#This Row],[x]]-D15</f>
        <v>1</v>
      </c>
      <c r="D16" s="9">
        <v>11</v>
      </c>
      <c r="E16" s="60">
        <f>MOD(INT(t_B3n3[[#This Row],[x]]/$B$1^INT(RIGHT(t_B3n3[[#Headers],[b2]],1))),$B$1)</f>
        <v>1</v>
      </c>
      <c r="F16" s="60">
        <f>MOD(INT(t_B3n3[[#This Row],[x]]/$B$1^INT(RIGHT(t_B3n3[[#Headers],[b1]],1))),$B$1)</f>
        <v>0</v>
      </c>
      <c r="G16" s="61">
        <f>MOD(INT(t_B3n3[[#This Row],[x]]/$B$1^INT(RIGHT(t_B3n3[[#Headers],[b0]],1))),$B$1)</f>
        <v>2</v>
      </c>
      <c r="H16" s="4" t="str">
        <f t="array" ref="H16">IF(SUM(IF(COUNTIF(t_B3n3[[#This Row],[b2]:[b0]],t_B3n3[[#This Row],[b2]:[b0]])=1,1,0))=$B$1,"←Perm","")</f>
        <v>←Perm</v>
      </c>
      <c r="I16" s="16"/>
      <c r="J16" s="123"/>
      <c r="L16" s="17"/>
      <c r="Z16" s="17"/>
      <c r="AA16" s="17"/>
      <c r="AB16" s="17"/>
      <c r="AC16" s="17"/>
      <c r="AE16" s="17"/>
      <c r="AF16" s="17"/>
      <c r="AG16" s="17"/>
      <c r="AH16" s="17"/>
      <c r="AI16" s="17"/>
      <c r="AJ16" s="16"/>
      <c r="AK16" s="17"/>
      <c r="AL16" s="17"/>
      <c r="AM16" s="17"/>
      <c r="AN16" s="17"/>
      <c r="AP16" s="17"/>
      <c r="AQ16" s="16"/>
      <c r="AR16" s="17"/>
      <c r="AS16" s="17"/>
      <c r="AT16" s="17"/>
      <c r="AU16" s="17"/>
      <c r="AV16" s="17"/>
      <c r="AW16" s="16"/>
      <c r="AX16" s="17"/>
      <c r="AY16" s="17"/>
      <c r="AZ16" s="17"/>
      <c r="BA16" s="17"/>
      <c r="BC16" s="17"/>
      <c r="BD16" s="16"/>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row>
    <row r="17" spans="1:95" x14ac:dyDescent="0.25">
      <c r="A17" s="139">
        <v>12</v>
      </c>
      <c r="B17" s="139">
        <f>ROUNDUP(t_B3n3_Fixed[[#This Row],[Row]]-$B$3,0)</f>
        <v>-1</v>
      </c>
      <c r="C17" s="12">
        <f>t_B3n3[[#This Row],[x]]-D16</f>
        <v>1</v>
      </c>
      <c r="D17" s="1">
        <v>12</v>
      </c>
      <c r="E17" s="85">
        <f>MOD(INT(t_B3n3[[#This Row],[x]]/$B$1^INT(RIGHT(t_B3n3[[#Headers],[b2]],1))),$B$1)</f>
        <v>1</v>
      </c>
      <c r="F17" s="85">
        <f>MOD(INT(t_B3n3[[#This Row],[x]]/$B$1^INT(RIGHT(t_B3n3[[#Headers],[b1]],1))),$B$1)</f>
        <v>1</v>
      </c>
      <c r="G17" s="86">
        <f>MOD(INT(t_B3n3[[#This Row],[x]]/$B$1^INT(RIGHT(t_B3n3[[#Headers],[b0]],1))),$B$1)</f>
        <v>0</v>
      </c>
      <c r="H17" s="4" t="str">
        <f t="array" ref="H17">IF(SUM(IF(COUNTIF(t_B3n3[[#This Row],[b2]:[b0]],t_B3n3[[#This Row],[b2]:[b0]])=1,1,0))=$B$1,"←Perm","")</f>
        <v/>
      </c>
      <c r="I17" s="2"/>
      <c r="J17" s="29"/>
      <c r="L17" s="17"/>
      <c r="Z17" s="17"/>
      <c r="AA17" s="17"/>
      <c r="AB17" s="17"/>
      <c r="AC17" s="17"/>
      <c r="AE17" s="17"/>
      <c r="AF17" s="17"/>
      <c r="AG17" s="17"/>
      <c r="AH17" s="17"/>
      <c r="AI17" s="17"/>
      <c r="AJ17" s="16"/>
      <c r="AK17" s="17"/>
      <c r="AL17" s="17"/>
      <c r="AM17" s="17"/>
      <c r="AN17" s="17"/>
      <c r="AP17" s="17"/>
      <c r="AQ17" s="16"/>
      <c r="AR17" s="17"/>
      <c r="AS17" s="17"/>
      <c r="AT17" s="17"/>
      <c r="AU17" s="17"/>
      <c r="AV17" s="17"/>
      <c r="AW17" s="16"/>
      <c r="AX17" s="17"/>
      <c r="AY17" s="17"/>
      <c r="AZ17" s="17"/>
      <c r="BA17" s="17"/>
      <c r="BC17" s="17"/>
      <c r="BD17" s="16"/>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row>
    <row r="18" spans="1:95" ht="15.75" thickBot="1" x14ac:dyDescent="0.3">
      <c r="A18" s="22">
        <v>13</v>
      </c>
      <c r="B18" s="22">
        <f>ROUNDUP(t_B3n3_Fixed[[#This Row],[Row]]-$B$3,0)</f>
        <v>0</v>
      </c>
      <c r="C18" s="23">
        <f>t_B3n3[[#This Row],[x]]-D17</f>
        <v>1</v>
      </c>
      <c r="D18" s="22">
        <v>13</v>
      </c>
      <c r="E18" s="22">
        <f>MOD(INT(t_B3n3[[#This Row],[x]]/$B$1^INT(RIGHT(t_B3n3[[#Headers],[b2]],1))),$B$1)</f>
        <v>1</v>
      </c>
      <c r="F18" s="22">
        <f>MOD(INT(t_B3n3[[#This Row],[x]]/$B$1^INT(RIGHT(t_B3n3[[#Headers],[b1]],1))),$B$1)</f>
        <v>1</v>
      </c>
      <c r="G18" s="23">
        <f>MOD(INT(t_B3n3[[#This Row],[x]]/$B$1^INT(RIGHT(t_B3n3[[#Headers],[b0]],1))),$B$1)</f>
        <v>1</v>
      </c>
      <c r="H18" s="23" t="str">
        <f t="array" ref="H18">IF(SUM(IF(COUNTIF(t_B3n3[[#This Row],[b2]:[b0]],t_B3n3[[#This Row],[b2]:[b0]])=1,1,0))=$B$1,"←Perm","")</f>
        <v/>
      </c>
      <c r="I18" s="28" t="s">
        <v>0</v>
      </c>
      <c r="J18" s="123"/>
      <c r="L18" s="17"/>
      <c r="Z18" s="17"/>
      <c r="AA18" s="17"/>
      <c r="AB18" s="17"/>
      <c r="AC18" s="17"/>
      <c r="AE18" s="17"/>
      <c r="AF18" s="17"/>
      <c r="AG18" s="17"/>
      <c r="AH18" s="17"/>
      <c r="AI18" s="17"/>
      <c r="AJ18" s="16"/>
      <c r="AK18" s="17"/>
      <c r="AL18" s="17"/>
      <c r="AM18" s="17"/>
      <c r="AN18" s="17"/>
      <c r="AP18" s="17"/>
      <c r="AQ18" s="16"/>
      <c r="AR18" s="17"/>
      <c r="AS18" s="17"/>
      <c r="AT18" s="17"/>
      <c r="AU18" s="17"/>
      <c r="AV18" s="17"/>
      <c r="AW18" s="16"/>
      <c r="AX18" s="17"/>
      <c r="AY18" s="17"/>
      <c r="AZ18" s="17"/>
      <c r="BA18" s="17"/>
      <c r="BC18" s="17"/>
      <c r="BD18" s="16"/>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row>
    <row r="19" spans="1:95" x14ac:dyDescent="0.25">
      <c r="A19" s="139">
        <v>14</v>
      </c>
      <c r="B19" s="139">
        <f>ROUNDUP(t_B3n3_Fixed[[#This Row],[Row]]-$B$3,0)</f>
        <v>1</v>
      </c>
      <c r="C19" s="12">
        <f>t_B3n3[[#This Row],[x]]-D18</f>
        <v>1</v>
      </c>
      <c r="D19" s="1">
        <v>14</v>
      </c>
      <c r="E19" s="185">
        <f>MOD(INT(t_B3n3[[#This Row],[x]]/$B$1^INT(RIGHT(t_B3n3[[#Headers],[b2]],1))),$B$1)</f>
        <v>1</v>
      </c>
      <c r="F19" s="185">
        <f>MOD(INT(t_B3n3[[#This Row],[x]]/$B$1^INT(RIGHT(t_B3n3[[#Headers],[b1]],1))),$B$1)</f>
        <v>1</v>
      </c>
      <c r="G19" s="184">
        <f>MOD(INT(t_B3n3[[#This Row],[x]]/$B$1^INT(RIGHT(t_B3n3[[#Headers],[b0]],1))),$B$1)</f>
        <v>2</v>
      </c>
      <c r="H19" s="4" t="str">
        <f t="array" ref="H19">IF(SUM(IF(COUNTIF(t_B3n3[[#This Row],[b2]:[b0]],t_B3n3[[#This Row],[b2]:[b0]])=1,1,0))=$B$1,"←Perm","")</f>
        <v/>
      </c>
      <c r="I19" s="16"/>
      <c r="J19" s="123"/>
      <c r="L19" s="17"/>
      <c r="Z19" s="17"/>
      <c r="AA19" s="17"/>
      <c r="AB19" s="17"/>
      <c r="AC19" s="17"/>
      <c r="AE19" s="17"/>
      <c r="AF19" s="17"/>
      <c r="AG19" s="17"/>
      <c r="AH19" s="17"/>
      <c r="AI19" s="17"/>
      <c r="AJ19" s="16"/>
      <c r="AK19" s="17"/>
      <c r="AL19" s="17"/>
      <c r="AM19" s="17"/>
      <c r="AN19" s="17"/>
      <c r="AP19" s="17"/>
      <c r="AQ19" s="16"/>
      <c r="AR19" s="17"/>
      <c r="AS19" s="17"/>
      <c r="AT19" s="17"/>
      <c r="AU19" s="17"/>
      <c r="AV19" s="17"/>
      <c r="AW19" s="16"/>
      <c r="AX19" s="17"/>
      <c r="AY19" s="17"/>
      <c r="AZ19" s="17"/>
      <c r="BA19" s="17"/>
      <c r="BC19" s="17"/>
      <c r="BD19" s="16"/>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row>
    <row r="20" spans="1:95" x14ac:dyDescent="0.25">
      <c r="A20" s="139">
        <v>15</v>
      </c>
      <c r="B20" s="139">
        <f>ROUNDUP(t_B3n3_Fixed[[#This Row],[Row]]-$B$3,0)</f>
        <v>2</v>
      </c>
      <c r="C20" s="12">
        <f>t_B3n3[[#This Row],[x]]-D19</f>
        <v>1</v>
      </c>
      <c r="D20" s="9">
        <v>15</v>
      </c>
      <c r="E20" s="87">
        <f>MOD(INT(t_B3n3[[#This Row],[x]]/$B$1^INT(RIGHT(t_B3n3[[#Headers],[b2]],1))),$B$1)</f>
        <v>1</v>
      </c>
      <c r="F20" s="87">
        <f>MOD(INT(t_B3n3[[#This Row],[x]]/$B$1^INT(RIGHT(t_B3n3[[#Headers],[b1]],1))),$B$1)</f>
        <v>2</v>
      </c>
      <c r="G20" s="88">
        <f>MOD(INT(t_B3n3[[#This Row],[x]]/$B$1^INT(RIGHT(t_B3n3[[#Headers],[b0]],1))),$B$1)</f>
        <v>0</v>
      </c>
      <c r="H20" s="12" t="str">
        <f t="array" ref="H20">IF(SUM(IF(COUNTIF(t_B3n3[[#This Row],[b2]:[b0]],t_B3n3[[#This Row],[b2]:[b0]])=1,1,0))=$B$1,"←Perm","")</f>
        <v>←Perm</v>
      </c>
      <c r="I20" s="16"/>
      <c r="J20" s="29"/>
      <c r="L20" s="17"/>
      <c r="AF20" s="17"/>
      <c r="AG20" s="17"/>
      <c r="AH20" s="17"/>
      <c r="AI20" s="17"/>
      <c r="AJ20" s="16"/>
      <c r="AK20" s="17"/>
      <c r="AL20" s="17"/>
      <c r="AM20" s="17"/>
      <c r="AN20" s="17"/>
      <c r="AP20" s="17"/>
      <c r="AQ20" s="16"/>
      <c r="AR20" s="17"/>
      <c r="AS20" s="17"/>
      <c r="AT20" s="17"/>
      <c r="AU20" s="17"/>
      <c r="AV20" s="17"/>
      <c r="AW20" s="16"/>
      <c r="AX20" s="17"/>
      <c r="AY20" s="17"/>
      <c r="AZ20" s="17"/>
      <c r="BA20" s="17"/>
      <c r="BC20" s="17"/>
      <c r="BD20" s="16"/>
    </row>
    <row r="21" spans="1:95" x14ac:dyDescent="0.25">
      <c r="A21" s="139">
        <v>16</v>
      </c>
      <c r="B21" s="139">
        <f>ROUNDUP(t_B3n3_Fixed[[#This Row],[Row]]-$B$3,0)</f>
        <v>3</v>
      </c>
      <c r="C21" s="12">
        <f>t_B3n3[[#This Row],[x]]-D20</f>
        <v>1</v>
      </c>
      <c r="D21" s="9">
        <v>16</v>
      </c>
      <c r="E21" s="185">
        <f>MOD(INT(t_B3n3[[#This Row],[x]]/$B$1^INT(RIGHT(t_B3n3[[#Headers],[b2]],1))),$B$1)</f>
        <v>1</v>
      </c>
      <c r="F21" s="185">
        <f>MOD(INT(t_B3n3[[#This Row],[x]]/$B$1^INT(RIGHT(t_B3n3[[#Headers],[b1]],1))),$B$1)</f>
        <v>2</v>
      </c>
      <c r="G21" s="184">
        <f>MOD(INT(t_B3n3[[#This Row],[x]]/$B$1^INT(RIGHT(t_B3n3[[#Headers],[b0]],1))),$B$1)</f>
        <v>1</v>
      </c>
      <c r="H21" s="12" t="str">
        <f t="array" ref="H21">IF(SUM(IF(COUNTIF(t_B3n3[[#This Row],[b2]:[b0]],t_B3n3[[#This Row],[b2]:[b0]])=1,1,0))=$B$1,"←Perm","")</f>
        <v/>
      </c>
      <c r="I21" s="16"/>
      <c r="J21" s="123"/>
      <c r="L21" s="17"/>
      <c r="AJ21" s="16"/>
      <c r="AQ21" s="16"/>
      <c r="AW21" s="16"/>
      <c r="BD21" s="16"/>
    </row>
    <row r="22" spans="1:95" x14ac:dyDescent="0.25">
      <c r="A22" s="139">
        <v>17</v>
      </c>
      <c r="B22" s="139">
        <f>ROUNDUP(t_B3n3_Fixed[[#This Row],[Row]]-$B$3,0)</f>
        <v>4</v>
      </c>
      <c r="C22" s="12">
        <f>t_B3n3[[#This Row],[x]]-D21</f>
        <v>1</v>
      </c>
      <c r="D22" s="9">
        <v>17</v>
      </c>
      <c r="E22" s="54">
        <f>MOD(INT(t_B3n3[[#This Row],[x]]/$B$1^INT(RIGHT(t_B3n3[[#Headers],[b2]],1))),$B$1)</f>
        <v>1</v>
      </c>
      <c r="F22" s="54">
        <f>MOD(INT(t_B3n3[[#This Row],[x]]/$B$1^INT(RIGHT(t_B3n3[[#Headers],[b1]],1))),$B$1)</f>
        <v>2</v>
      </c>
      <c r="G22" s="55">
        <f>MOD(INT(t_B3n3[[#This Row],[x]]/$B$1^INT(RIGHT(t_B3n3[[#Headers],[b0]],1))),$B$1)</f>
        <v>2</v>
      </c>
      <c r="H22" s="4" t="str">
        <f t="array" ref="H22">IF(SUM(IF(COUNTIF(t_B3n3[[#This Row],[b2]:[b0]],t_B3n3[[#This Row],[b2]:[b0]])=1,1,0))=$B$1,"←Perm","")</f>
        <v/>
      </c>
      <c r="I22" s="16"/>
      <c r="J22" s="123"/>
      <c r="L22" s="17"/>
      <c r="AJ22" s="16"/>
      <c r="AQ22" s="16"/>
      <c r="AW22" s="16"/>
      <c r="BD22" s="16"/>
    </row>
    <row r="23" spans="1:95" x14ac:dyDescent="0.25">
      <c r="A23" s="139">
        <v>18</v>
      </c>
      <c r="B23" s="139">
        <f>ROUNDUP(t_B3n3_Fixed[[#This Row],[Row]]-$B$3,0)</f>
        <v>5</v>
      </c>
      <c r="C23" s="12">
        <f>t_B3n3[[#This Row],[x]]-D22</f>
        <v>1</v>
      </c>
      <c r="D23" s="1">
        <v>18</v>
      </c>
      <c r="E23" s="44">
        <f>MOD(INT(t_B3n3[[#This Row],[x]]/$B$1^INT(RIGHT(t_B3n3[[#Headers],[b2]],1))),$B$1)</f>
        <v>2</v>
      </c>
      <c r="F23" s="44">
        <f>MOD(INT(t_B3n3[[#This Row],[x]]/$B$1^INT(RIGHT(t_B3n3[[#Headers],[b1]],1))),$B$1)</f>
        <v>0</v>
      </c>
      <c r="G23" s="45">
        <f>MOD(INT(t_B3n3[[#This Row],[x]]/$B$1^INT(RIGHT(t_B3n3[[#Headers],[b0]],1))),$B$1)</f>
        <v>0</v>
      </c>
      <c r="H23" s="4" t="str">
        <f t="array" ref="H23">IF(SUM(IF(COUNTIF(t_B3n3[[#This Row],[b2]:[b0]],t_B3n3[[#This Row],[b2]:[b0]])=1,1,0))=$B$1,"←Perm","")</f>
        <v/>
      </c>
      <c r="I23" s="16"/>
      <c r="J23" s="123"/>
      <c r="L23" s="17"/>
      <c r="AJ23" s="16"/>
      <c r="AQ23" s="16"/>
      <c r="AW23" s="16"/>
      <c r="BD23" s="16"/>
    </row>
    <row r="24" spans="1:95" x14ac:dyDescent="0.25">
      <c r="A24" s="139">
        <v>19</v>
      </c>
      <c r="B24" s="139">
        <f>ROUNDUP(t_B3n3_Fixed[[#This Row],[Row]]-$B$3,0)</f>
        <v>6</v>
      </c>
      <c r="C24" s="12">
        <f>t_B3n3[[#This Row],[x]]-D23</f>
        <v>1</v>
      </c>
      <c r="D24" s="9">
        <v>19</v>
      </c>
      <c r="E24" s="87">
        <f>MOD(INT(t_B3n3[[#This Row],[x]]/$B$1^INT(RIGHT(t_B3n3[[#Headers],[b2]],1))),$B$1)</f>
        <v>2</v>
      </c>
      <c r="F24" s="87">
        <f>MOD(INT(t_B3n3[[#This Row],[x]]/$B$1^INT(RIGHT(t_B3n3[[#Headers],[b1]],1))),$B$1)</f>
        <v>0</v>
      </c>
      <c r="G24" s="88">
        <f>MOD(INT(t_B3n3[[#This Row],[x]]/$B$1^INT(RIGHT(t_B3n3[[#Headers],[b0]],1))),$B$1)</f>
        <v>1</v>
      </c>
      <c r="H24" s="4" t="str">
        <f t="array" ref="H24">IF(SUM(IF(COUNTIF(t_B3n3[[#This Row],[b2]:[b0]],t_B3n3[[#This Row],[b2]:[b0]])=1,1,0))=$B$1,"←Perm","")</f>
        <v>←Perm</v>
      </c>
      <c r="I24" s="16"/>
      <c r="J24" s="29"/>
      <c r="L24" s="17"/>
      <c r="AJ24" s="16"/>
      <c r="AQ24" s="16"/>
      <c r="AW24" s="16"/>
      <c r="BD24" s="16"/>
    </row>
    <row r="25" spans="1:95" x14ac:dyDescent="0.25">
      <c r="A25" s="139">
        <v>20</v>
      </c>
      <c r="B25" s="139">
        <f>ROUNDUP(t_B3n3_Fixed[[#This Row],[Row]]-$B$3,0)</f>
        <v>7</v>
      </c>
      <c r="C25" s="12">
        <f>t_B3n3[[#This Row],[x]]-D24</f>
        <v>1</v>
      </c>
      <c r="D25" s="1">
        <v>20</v>
      </c>
      <c r="E25" s="38">
        <f>MOD(INT(t_B3n3[[#This Row],[x]]/$B$1^INT(RIGHT(t_B3n3[[#Headers],[b2]],1))),$B$1)</f>
        <v>2</v>
      </c>
      <c r="F25" s="38">
        <f>MOD(INT(t_B3n3[[#This Row],[x]]/$B$1^INT(RIGHT(t_B3n3[[#Headers],[b1]],1))),$B$1)</f>
        <v>0</v>
      </c>
      <c r="G25" s="39">
        <f>MOD(INT(t_B3n3[[#This Row],[x]]/$B$1^INT(RIGHT(t_B3n3[[#Headers],[b0]],1))),$B$1)</f>
        <v>2</v>
      </c>
      <c r="H25" s="4" t="str">
        <f t="array" ref="H25">IF(SUM(IF(COUNTIF(t_B3n3[[#This Row],[b2]:[b0]],t_B3n3[[#This Row],[b2]:[b0]])=1,1,0))=$B$1,"←Perm","")</f>
        <v/>
      </c>
      <c r="I25" s="16"/>
      <c r="J25" s="29"/>
      <c r="L25" s="17"/>
      <c r="AJ25" s="16"/>
      <c r="AQ25" s="16"/>
      <c r="AW25" s="16"/>
      <c r="BD25" s="16"/>
    </row>
    <row r="26" spans="1:95" x14ac:dyDescent="0.25">
      <c r="A26" s="139">
        <v>21</v>
      </c>
      <c r="B26" s="139">
        <f>ROUNDUP(t_B3n3_Fixed[[#This Row],[Row]]-$B$3,0)</f>
        <v>8</v>
      </c>
      <c r="C26" s="12">
        <f>t_B3n3[[#This Row],[x]]-D25</f>
        <v>1</v>
      </c>
      <c r="D26" s="9">
        <v>21</v>
      </c>
      <c r="E26" s="60">
        <f>MOD(INT(t_B3n3[[#This Row],[x]]/$B$1^INT(RIGHT(t_B3n3[[#Headers],[b2]],1))),$B$1)</f>
        <v>2</v>
      </c>
      <c r="F26" s="60">
        <f>MOD(INT(t_B3n3[[#This Row],[x]]/$B$1^INT(RIGHT(t_B3n3[[#Headers],[b1]],1))),$B$1)</f>
        <v>1</v>
      </c>
      <c r="G26" s="61">
        <f>MOD(INT(t_B3n3[[#This Row],[x]]/$B$1^INT(RIGHT(t_B3n3[[#Headers],[b0]],1))),$B$1)</f>
        <v>0</v>
      </c>
      <c r="H26" s="4" t="str">
        <f t="array" ref="H26">IF(SUM(IF(COUNTIF(t_B3n3[[#This Row],[b2]:[b0]],t_B3n3[[#This Row],[b2]:[b0]])=1,1,0))=$B$1,"←Perm","")</f>
        <v>←Perm</v>
      </c>
      <c r="I26" s="16"/>
      <c r="J26" s="123"/>
      <c r="L26" s="17"/>
      <c r="AJ26" s="16"/>
      <c r="AQ26" s="16"/>
      <c r="AW26" s="16"/>
      <c r="BD26" s="16"/>
    </row>
    <row r="27" spans="1:95" x14ac:dyDescent="0.25">
      <c r="A27" s="139">
        <v>22</v>
      </c>
      <c r="B27" s="139">
        <f>ROUNDUP(t_B3n3_Fixed[[#This Row],[Row]]-$B$3,0)</f>
        <v>9</v>
      </c>
      <c r="C27" s="12">
        <f>t_B3n3[[#This Row],[x]]-D26</f>
        <v>1</v>
      </c>
      <c r="D27" s="1">
        <v>22</v>
      </c>
      <c r="E27" s="185">
        <f>MOD(INT(t_B3n3[[#This Row],[x]]/$B$1^INT(RIGHT(t_B3n3[[#Headers],[b2]],1))),$B$1)</f>
        <v>2</v>
      </c>
      <c r="F27" s="185">
        <f>MOD(INT(t_B3n3[[#This Row],[x]]/$B$1^INT(RIGHT(t_B3n3[[#Headers],[b1]],1))),$B$1)</f>
        <v>1</v>
      </c>
      <c r="G27" s="184">
        <f>MOD(INT(t_B3n3[[#This Row],[x]]/$B$1^INT(RIGHT(t_B3n3[[#Headers],[b0]],1))),$B$1)</f>
        <v>1</v>
      </c>
      <c r="H27" s="4" t="str">
        <f t="array" ref="H27">IF(SUM(IF(COUNTIF(t_B3n3[[#This Row],[b2]:[b0]],t_B3n3[[#This Row],[b2]:[b0]])=1,1,0))=$B$1,"←Perm","")</f>
        <v/>
      </c>
      <c r="I27" s="16"/>
      <c r="J27" s="123"/>
      <c r="L27" s="17"/>
      <c r="AJ27" s="16"/>
      <c r="AQ27" s="16"/>
      <c r="AW27" s="16"/>
      <c r="BD27" s="16"/>
    </row>
    <row r="28" spans="1:95" x14ac:dyDescent="0.25">
      <c r="A28" s="139">
        <v>23</v>
      </c>
      <c r="B28" s="139">
        <f>ROUNDUP(t_B3n3_Fixed[[#This Row],[Row]]-$B$3,0)</f>
        <v>10</v>
      </c>
      <c r="C28" s="12">
        <f>t_B3n3[[#This Row],[x]]-D27</f>
        <v>1</v>
      </c>
      <c r="D28" s="9">
        <v>23</v>
      </c>
      <c r="E28" s="54">
        <f>MOD(INT(t_B3n3[[#This Row],[x]]/$B$1^INT(RIGHT(t_B3n3[[#Headers],[b2]],1))),$B$1)</f>
        <v>2</v>
      </c>
      <c r="F28" s="54">
        <f>MOD(INT(t_B3n3[[#This Row],[x]]/$B$1^INT(RIGHT(t_B3n3[[#Headers],[b1]],1))),$B$1)</f>
        <v>1</v>
      </c>
      <c r="G28" s="55">
        <f>MOD(INT(t_B3n3[[#This Row],[x]]/$B$1^INT(RIGHT(t_B3n3[[#Headers],[b0]],1))),$B$1)</f>
        <v>2</v>
      </c>
      <c r="H28" s="4" t="str">
        <f t="array" ref="H28">IF(SUM(IF(COUNTIF(t_B3n3[[#This Row],[b2]:[b0]],t_B3n3[[#This Row],[b2]:[b0]])=1,1,0))=$B$1,"←Perm","")</f>
        <v/>
      </c>
      <c r="I28" s="16"/>
      <c r="J28" s="123"/>
      <c r="L28" s="17"/>
      <c r="AJ28" s="16"/>
      <c r="AQ28" s="16"/>
      <c r="AW28" s="16"/>
      <c r="BD28" s="16"/>
    </row>
    <row r="29" spans="1:95" x14ac:dyDescent="0.25">
      <c r="A29" s="139">
        <v>24</v>
      </c>
      <c r="B29" s="139">
        <f>ROUNDUP(t_B3n3_Fixed[[#This Row],[Row]]-$B$3,0)</f>
        <v>11</v>
      </c>
      <c r="C29" s="12">
        <f>t_B3n3[[#This Row],[x]]-D28</f>
        <v>1</v>
      </c>
      <c r="D29" s="1">
        <v>24</v>
      </c>
      <c r="E29" s="38">
        <f>MOD(INT(t_B3n3[[#This Row],[x]]/$B$1^INT(RIGHT(t_B3n3[[#Headers],[b2]],1))),$B$1)</f>
        <v>2</v>
      </c>
      <c r="F29" s="38">
        <f>MOD(INT(t_B3n3[[#This Row],[x]]/$B$1^INT(RIGHT(t_B3n3[[#Headers],[b1]],1))),$B$1)</f>
        <v>2</v>
      </c>
      <c r="G29" s="39">
        <f>MOD(INT(t_B3n3[[#This Row],[x]]/$B$1^INT(RIGHT(t_B3n3[[#Headers],[b0]],1))),$B$1)</f>
        <v>0</v>
      </c>
      <c r="H29" s="4" t="str">
        <f t="array" ref="H29">IF(SUM(IF(COUNTIF(t_B3n3[[#This Row],[b2]:[b0]],t_B3n3[[#This Row],[b2]:[b0]])=1,1,0))=$B$1,"←Perm","")</f>
        <v/>
      </c>
      <c r="I29" s="16"/>
      <c r="J29" s="29"/>
    </row>
    <row r="30" spans="1:95" x14ac:dyDescent="0.25">
      <c r="A30" s="139">
        <v>25</v>
      </c>
      <c r="B30" s="139">
        <f>ROUNDUP(t_B3n3_Fixed[[#This Row],[Row]]-$B$3,0)</f>
        <v>12</v>
      </c>
      <c r="C30" s="12">
        <f>t_B3n3[[#This Row],[x]]-D29</f>
        <v>1</v>
      </c>
      <c r="D30" s="9">
        <v>25</v>
      </c>
      <c r="E30" s="54">
        <f>MOD(INT(t_B3n3[[#This Row],[x]]/$B$1^INT(RIGHT(t_B3n3[[#Headers],[b2]],1))),$B$1)</f>
        <v>2</v>
      </c>
      <c r="F30" s="54">
        <f>MOD(INT(t_B3n3[[#This Row],[x]]/$B$1^INT(RIGHT(t_B3n3[[#Headers],[b1]],1))),$B$1)</f>
        <v>2</v>
      </c>
      <c r="G30" s="55">
        <f>MOD(INT(t_B3n3[[#This Row],[x]]/$B$1^INT(RIGHT(t_B3n3[[#Headers],[b0]],1))),$B$1)</f>
        <v>1</v>
      </c>
      <c r="H30" s="4" t="str">
        <f t="array" ref="H30">IF(SUM(IF(COUNTIF(t_B3n3[[#This Row],[b2]:[b0]],t_B3n3[[#This Row],[b2]:[b0]])=1,1,0))=$B$1,"←Perm","")</f>
        <v/>
      </c>
      <c r="I30" s="16"/>
      <c r="J30" s="123"/>
    </row>
    <row r="31" spans="1:95" x14ac:dyDescent="0.25">
      <c r="A31" s="139">
        <v>26</v>
      </c>
      <c r="B31" s="139">
        <f>ROUNDUP(t_B3n3_Fixed[[#This Row],[Row]]-$B$3,0)</f>
        <v>13</v>
      </c>
      <c r="C31" s="12">
        <f>t_B3n3[[#This Row],[x]]-D30</f>
        <v>1</v>
      </c>
      <c r="D31" s="1">
        <v>26</v>
      </c>
      <c r="E31" s="75">
        <f>MOD(INT(t_B3n3[[#This Row],[x]]/$B$1^INT(RIGHT(t_B3n3[[#Headers],[b2]],1))),$B$1)</f>
        <v>2</v>
      </c>
      <c r="F31" s="75">
        <f>MOD(INT(t_B3n3[[#This Row],[x]]/$B$1^INT(RIGHT(t_B3n3[[#Headers],[b1]],1))),$B$1)</f>
        <v>2</v>
      </c>
      <c r="G31" s="76">
        <f>MOD(INT(t_B3n3[[#This Row],[x]]/$B$1^INT(RIGHT(t_B3n3[[#Headers],[b0]],1))),$B$1)</f>
        <v>2</v>
      </c>
      <c r="H31" s="4" t="str">
        <f t="array" ref="H31">IF(SUM(IF(COUNTIF(t_B3n3[[#This Row],[b2]:[b0]],t_B3n3[[#This Row],[b2]:[b0]])=1,1,0))=$B$1,"←Perm","")</f>
        <v/>
      </c>
      <c r="I31" s="16"/>
      <c r="J31" s="123"/>
    </row>
    <row r="32" spans="1:95" x14ac:dyDescent="0.25">
      <c r="A32" s="139" t="s">
        <v>1</v>
      </c>
      <c r="B32" s="139"/>
      <c r="C32">
        <f>SUBTOTAL(109,t_B3n3_Fixed[Interval])</f>
        <v>26</v>
      </c>
      <c r="D32" t="s">
        <v>1</v>
      </c>
      <c r="E32">
        <f>SUBTOTAL(109,t_B3n3[b2])</f>
        <v>27</v>
      </c>
      <c r="F32">
        <f>SUBTOTAL(109,t_B3n3[b1])</f>
        <v>27</v>
      </c>
      <c r="G32">
        <f>SUBTOTAL(109,t_B3n3[b0])</f>
        <v>27</v>
      </c>
      <c r="H32"/>
      <c r="I32" s="16"/>
    </row>
  </sheetData>
  <pageMargins left="0.7" right="0.7" top="0.75" bottom="0.75" header="0.3" footer="0.3"/>
  <pageSetup paperSize="9" orientation="portrait" horizontalDpi="1200" verticalDpi="1200"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S95"/>
  <sheetViews>
    <sheetView workbookViewId="0">
      <pane ySplit="4" topLeftCell="A5" activePane="bottomLeft" state="frozen"/>
      <selection pane="bottomLeft"/>
    </sheetView>
  </sheetViews>
  <sheetFormatPr defaultRowHeight="15" x14ac:dyDescent="0.25"/>
  <cols>
    <col min="1" max="1" width="9.5703125" bestFit="1" customWidth="1"/>
    <col min="2" max="2" width="4.140625" bestFit="1" customWidth="1"/>
    <col min="3" max="3" width="3.7109375" bestFit="1" customWidth="1"/>
    <col min="4" max="4" width="5.7109375" bestFit="1" customWidth="1"/>
    <col min="5" max="8" width="5.140625" bestFit="1" customWidth="1"/>
    <col min="9" max="9" width="7.85546875" bestFit="1" customWidth="1"/>
    <col min="10" max="10" width="7.85546875" customWidth="1"/>
    <col min="11" max="11" width="27.7109375" bestFit="1" customWidth="1"/>
    <col min="12" max="13" width="4.140625" bestFit="1" customWidth="1"/>
    <col min="14" max="18" width="3.85546875" bestFit="1" customWidth="1"/>
    <col min="19" max="19" width="2.5703125" customWidth="1"/>
    <col min="20" max="21" width="3.85546875" bestFit="1" customWidth="1"/>
    <col min="22" max="22" width="2.5703125" customWidth="1"/>
    <col min="23" max="24" width="3.85546875" bestFit="1" customWidth="1"/>
    <col min="25" max="25" width="2.5703125" customWidth="1"/>
    <col min="26" max="27" width="3.85546875" bestFit="1" customWidth="1"/>
    <col min="28" max="28" width="2.5703125" customWidth="1"/>
    <col min="29" max="30" width="3.85546875" bestFit="1" customWidth="1"/>
    <col min="31" max="31" width="2.5703125" customWidth="1"/>
    <col min="32" max="33" width="3.85546875" bestFit="1" customWidth="1"/>
    <col min="34" max="34" width="2.5703125" customWidth="1"/>
    <col min="35" max="36" width="5.140625" bestFit="1" customWidth="1"/>
    <col min="37" max="37" width="2.5703125" customWidth="1"/>
    <col min="38" max="38" width="3.7109375" style="17" bestFit="1" customWidth="1"/>
    <col min="39" max="39" width="6" style="17" customWidth="1"/>
    <col min="40" max="40" width="4.85546875" style="17" bestFit="1" customWidth="1"/>
    <col min="41" max="41" width="10.28515625" style="17" bestFit="1" customWidth="1"/>
    <col min="42" max="42" width="7.85546875" style="17" customWidth="1"/>
    <col min="43" max="43" width="9.140625" style="17"/>
    <col min="44" max="44" width="3.7109375" style="17" bestFit="1" customWidth="1"/>
    <col min="45" max="45" width="6" customWidth="1"/>
    <col min="46" max="46" width="4.85546875" bestFit="1" customWidth="1"/>
    <col min="47" max="47" width="10.28515625" bestFit="1" customWidth="1"/>
    <col min="48" max="48" width="7.85546875" style="17" bestFit="1" customWidth="1"/>
    <col min="50" max="50" width="3.7109375" bestFit="1" customWidth="1"/>
    <col min="51" max="51" width="6" bestFit="1" customWidth="1"/>
    <col min="52" max="52" width="4.85546875" bestFit="1" customWidth="1"/>
    <col min="53" max="53" width="10.28515625" bestFit="1" customWidth="1"/>
    <col min="54" max="54" width="7.85546875" style="17" bestFit="1" customWidth="1"/>
    <col min="56" max="56" width="3.7109375" bestFit="1" customWidth="1"/>
    <col min="57" max="57" width="6" bestFit="1" customWidth="1"/>
    <col min="58" max="58" width="4.85546875" bestFit="1" customWidth="1"/>
    <col min="59" max="59" width="4.85546875" style="17" bestFit="1" customWidth="1"/>
    <col min="60" max="60" width="10.28515625" bestFit="1" customWidth="1"/>
    <col min="61" max="61" width="7.85546875" style="17" bestFit="1" customWidth="1"/>
    <col min="63" max="63" width="3.7109375" bestFit="1" customWidth="1"/>
    <col min="64" max="64" width="6" bestFit="1" customWidth="1"/>
    <col min="65" max="65" width="4.85546875" bestFit="1" customWidth="1"/>
    <col min="66" max="66" width="10.28515625" bestFit="1" customWidth="1"/>
    <col min="67" max="67" width="7.85546875" style="17" bestFit="1" customWidth="1"/>
    <col min="69" max="69" width="3.7109375" bestFit="1" customWidth="1"/>
    <col min="70" max="70" width="6" bestFit="1" customWidth="1"/>
    <col min="71" max="71" width="4.85546875" bestFit="1" customWidth="1"/>
    <col min="72" max="72" width="4.85546875" style="17" bestFit="1" customWidth="1"/>
    <col min="73" max="73" width="10.28515625" bestFit="1" customWidth="1"/>
    <col min="74" max="74" width="7.85546875" style="17" bestFit="1" customWidth="1"/>
    <col min="76" max="76" width="3.7109375" bestFit="1" customWidth="1"/>
    <col min="77" max="77" width="6" bestFit="1" customWidth="1"/>
    <col min="78" max="78" width="4.85546875" bestFit="1" customWidth="1"/>
    <col min="79" max="79" width="4.85546875" style="17" bestFit="1" customWidth="1"/>
    <col min="80" max="80" width="10.28515625" bestFit="1" customWidth="1"/>
    <col min="81" max="81" width="7.85546875" style="17" bestFit="1" customWidth="1"/>
    <col min="83" max="83" width="3.7109375" bestFit="1" customWidth="1"/>
    <col min="84" max="84" width="6" bestFit="1" customWidth="1"/>
    <col min="85" max="85" width="4.85546875" bestFit="1" customWidth="1"/>
    <col min="86" max="86" width="4.85546875" style="17" bestFit="1" customWidth="1"/>
    <col min="87" max="87" width="10.28515625" bestFit="1" customWidth="1"/>
    <col min="88" max="88" width="7.85546875" style="17" bestFit="1" customWidth="1"/>
    <col min="90" max="90" width="3.7109375" bestFit="1" customWidth="1"/>
    <col min="91" max="91" width="6" bestFit="1" customWidth="1"/>
    <col min="92" max="92" width="4.85546875" bestFit="1" customWidth="1"/>
    <col min="93" max="93" width="10.28515625" bestFit="1" customWidth="1"/>
    <col min="94" max="94" width="7.85546875" style="17" bestFit="1" customWidth="1"/>
    <col min="96" max="96" width="3.7109375" bestFit="1" customWidth="1"/>
    <col min="97" max="97" width="6" bestFit="1" customWidth="1"/>
    <col min="98" max="98" width="4.85546875" bestFit="1" customWidth="1"/>
    <col min="99" max="99" width="4.85546875" style="17" bestFit="1" customWidth="1"/>
    <col min="100" max="100" width="11.5703125" bestFit="1" customWidth="1"/>
    <col min="101" max="101" width="7.85546875" bestFit="1" customWidth="1"/>
    <col min="102" max="102" width="9.140625" style="17"/>
    <col min="103" max="103" width="3.7109375" bestFit="1" customWidth="1"/>
    <col min="104" max="104" width="6" customWidth="1"/>
    <col min="105" max="105" width="4.85546875" bestFit="1" customWidth="1"/>
    <col min="106" max="106" width="10.28515625" bestFit="1" customWidth="1"/>
    <col min="107" max="107" width="7.85546875" style="17" customWidth="1"/>
    <col min="109" max="109" width="3.7109375" bestFit="1" customWidth="1"/>
    <col min="110" max="110" width="6" bestFit="1" customWidth="1"/>
    <col min="111" max="111" width="4.85546875" bestFit="1" customWidth="1"/>
    <col min="112" max="112" width="10.28515625" bestFit="1" customWidth="1"/>
    <col min="113" max="113" width="7.85546875" style="17" bestFit="1" customWidth="1"/>
    <col min="115" max="115" width="3.7109375" bestFit="1" customWidth="1"/>
    <col min="116" max="116" width="6" bestFit="1" customWidth="1"/>
    <col min="117" max="117" width="4.85546875" bestFit="1" customWidth="1"/>
    <col min="118" max="118" width="10.28515625" bestFit="1" customWidth="1"/>
    <col min="119" max="119" width="7.85546875" style="17" bestFit="1" customWidth="1"/>
  </cols>
  <sheetData>
    <row r="1" spans="1:120" s="17" customFormat="1" ht="18.75" x14ac:dyDescent="0.3">
      <c r="A1" s="202" t="s">
        <v>2</v>
      </c>
      <c r="B1" s="203">
        <v>3</v>
      </c>
      <c r="H1" s="16"/>
    </row>
    <row r="2" spans="1:120" s="17" customFormat="1" ht="18.75" x14ac:dyDescent="0.3">
      <c r="A2" s="202" t="s">
        <v>4</v>
      </c>
      <c r="B2" s="203">
        <v>4</v>
      </c>
      <c r="H2" s="16"/>
    </row>
    <row r="3" spans="1:120" ht="18.75" x14ac:dyDescent="0.3">
      <c r="A3" s="206" t="s">
        <v>0</v>
      </c>
      <c r="B3" s="207">
        <f>(B1^B2 - 1)/2</f>
        <v>40</v>
      </c>
    </row>
    <row r="4" spans="1:120" ht="51.75" thickBot="1" x14ac:dyDescent="0.3">
      <c r="A4" s="120" t="s">
        <v>25</v>
      </c>
      <c r="B4" s="120" t="s">
        <v>26</v>
      </c>
      <c r="C4" s="120" t="s">
        <v>28</v>
      </c>
      <c r="D4" s="208" t="s">
        <v>27</v>
      </c>
      <c r="E4" s="121" t="s">
        <v>10</v>
      </c>
      <c r="F4" s="121" t="s">
        <v>9</v>
      </c>
      <c r="G4" s="121" t="s">
        <v>8</v>
      </c>
      <c r="H4" s="121" t="s">
        <v>7</v>
      </c>
      <c r="AL4" s="120" t="s">
        <v>28</v>
      </c>
      <c r="AM4" s="322" t="s">
        <v>26</v>
      </c>
      <c r="AN4" s="323" t="s">
        <v>539</v>
      </c>
      <c r="AO4" s="324" t="s">
        <v>537</v>
      </c>
      <c r="AR4" s="120" t="s">
        <v>28</v>
      </c>
      <c r="AS4" s="322" t="s">
        <v>26</v>
      </c>
      <c r="AT4" s="323" t="s">
        <v>539</v>
      </c>
      <c r="AU4" s="324" t="s">
        <v>537</v>
      </c>
      <c r="AX4" s="120" t="s">
        <v>28</v>
      </c>
      <c r="AY4" s="120" t="s">
        <v>26</v>
      </c>
      <c r="AZ4" s="254" t="s">
        <v>539</v>
      </c>
      <c r="BA4" s="120" t="s">
        <v>537</v>
      </c>
      <c r="BD4" s="120" t="s">
        <v>28</v>
      </c>
      <c r="BE4" s="120" t="s">
        <v>26</v>
      </c>
      <c r="BF4" s="254" t="s">
        <v>538</v>
      </c>
      <c r="BG4" s="254" t="s">
        <v>539</v>
      </c>
      <c r="BH4" s="120" t="s">
        <v>537</v>
      </c>
      <c r="BJ4" s="17"/>
      <c r="BK4" s="120" t="s">
        <v>28</v>
      </c>
      <c r="BL4" s="120" t="s">
        <v>26</v>
      </c>
      <c r="BM4" s="254" t="s">
        <v>539</v>
      </c>
      <c r="BN4" s="120" t="s">
        <v>537</v>
      </c>
      <c r="BP4" s="17"/>
      <c r="BQ4" s="120" t="s">
        <v>28</v>
      </c>
      <c r="BR4" s="120" t="s">
        <v>26</v>
      </c>
      <c r="BS4" s="254" t="s">
        <v>538</v>
      </c>
      <c r="BT4" s="254" t="s">
        <v>539</v>
      </c>
      <c r="BU4" s="120" t="s">
        <v>537</v>
      </c>
      <c r="BW4" s="17"/>
      <c r="BX4" s="120" t="s">
        <v>28</v>
      </c>
      <c r="BY4" s="120" t="s">
        <v>26</v>
      </c>
      <c r="BZ4" s="254" t="s">
        <v>538</v>
      </c>
      <c r="CA4" s="254" t="s">
        <v>539</v>
      </c>
      <c r="CB4" s="120" t="s">
        <v>537</v>
      </c>
      <c r="CD4" s="17"/>
      <c r="CE4" s="120" t="s">
        <v>28</v>
      </c>
      <c r="CF4" s="120" t="s">
        <v>26</v>
      </c>
      <c r="CG4" s="254" t="s">
        <v>538</v>
      </c>
      <c r="CH4" s="254" t="s">
        <v>539</v>
      </c>
      <c r="CI4" s="120" t="s">
        <v>537</v>
      </c>
      <c r="CK4" s="17"/>
      <c r="CL4" s="120" t="s">
        <v>28</v>
      </c>
      <c r="CM4" s="120" t="s">
        <v>26</v>
      </c>
      <c r="CN4" s="254" t="s">
        <v>539</v>
      </c>
      <c r="CO4" s="120" t="s">
        <v>537</v>
      </c>
      <c r="CQ4" s="17"/>
      <c r="CR4" s="120" t="s">
        <v>28</v>
      </c>
      <c r="CS4" s="120" t="s">
        <v>26</v>
      </c>
      <c r="CT4" s="254" t="s">
        <v>538</v>
      </c>
      <c r="CU4" s="254" t="s">
        <v>539</v>
      </c>
      <c r="CV4" s="120" t="s">
        <v>537</v>
      </c>
      <c r="CW4" s="17"/>
      <c r="CY4" s="120" t="s">
        <v>28</v>
      </c>
      <c r="CZ4" s="322" t="s">
        <v>26</v>
      </c>
      <c r="DA4" s="323" t="s">
        <v>539</v>
      </c>
      <c r="DB4" s="324" t="s">
        <v>537</v>
      </c>
      <c r="DD4" s="17"/>
      <c r="DE4" s="120" t="s">
        <v>28</v>
      </c>
      <c r="DF4" s="120" t="s">
        <v>26</v>
      </c>
      <c r="DG4" s="254" t="s">
        <v>539</v>
      </c>
      <c r="DH4" s="120" t="s">
        <v>537</v>
      </c>
      <c r="DJ4" s="17"/>
      <c r="DK4" s="120" t="s">
        <v>28</v>
      </c>
      <c r="DL4" s="120" t="s">
        <v>26</v>
      </c>
      <c r="DM4" s="254" t="s">
        <v>539</v>
      </c>
      <c r="DN4" s="120" t="s">
        <v>537</v>
      </c>
      <c r="DP4" s="17"/>
    </row>
    <row r="5" spans="1:120" ht="16.5" thickTop="1" thickBot="1" x14ac:dyDescent="0.3">
      <c r="A5" s="139">
        <v>0</v>
      </c>
      <c r="B5" s="139">
        <f>ROUNDUP(t_B3n4_Fixed[[#This Row],[Row]]-$B$3,0)</f>
        <v>-40</v>
      </c>
      <c r="C5" s="12"/>
      <c r="D5" s="9">
        <v>0</v>
      </c>
      <c r="E5" s="15">
        <f>MOD(INT(t_B3n4[[#This Row],[x]]/$B$1^INT(RIGHT(t_B3n4[[#Headers],[b3]],1))),$B$1)</f>
        <v>0</v>
      </c>
      <c r="F5" s="15">
        <f>MOD(INT(t_B3n4[[#This Row],[x]]/$B$1^INT(RIGHT(t_B3n4[[#Headers],[b2]],1))),$B$1)</f>
        <v>0</v>
      </c>
      <c r="G5" s="15">
        <f>MOD(INT(t_B3n4[[#This Row],[x]]/$B$1^INT(RIGHT(t_B3n4[[#Headers],[b1]],1))),$B$1)</f>
        <v>0</v>
      </c>
      <c r="H5" s="15">
        <f>MOD(INT(t_B3n4[[#This Row],[x]]/$B$1^INT(RIGHT(t_B3n4[[#Headers],[b0]],1))),$B$1)</f>
        <v>0</v>
      </c>
      <c r="I5" s="16" t="s">
        <v>3</v>
      </c>
      <c r="J5" s="16"/>
      <c r="AL5" s="139"/>
      <c r="AM5" s="320">
        <f>INDEX(t_B3n4_Fixed[Offset],MATCH($A$5,t_B3n4[x],0),1)</f>
        <v>-40</v>
      </c>
      <c r="AN5" s="314">
        <v>0</v>
      </c>
      <c r="AO5" s="342" t="s">
        <v>65</v>
      </c>
      <c r="AP5" s="27" t="s">
        <v>0</v>
      </c>
      <c r="AR5" s="139"/>
      <c r="AS5" s="320">
        <f>INDEX(t_B3n4_Fixed[Offset],MATCH($A$15,t_B3n4[x],0),1)</f>
        <v>-30</v>
      </c>
      <c r="AT5" s="314">
        <v>10</v>
      </c>
      <c r="AU5" s="244" t="s">
        <v>219</v>
      </c>
      <c r="AX5" s="139"/>
      <c r="AY5" s="139">
        <f>INDEX(t_B3n4_Fixed[Offset],MATCH($A$6,t_B3n4[x],0),1)</f>
        <v>-39</v>
      </c>
      <c r="AZ5" s="139">
        <v>1</v>
      </c>
      <c r="BA5" s="255" t="s">
        <v>210</v>
      </c>
      <c r="BD5" s="139"/>
      <c r="BE5" s="139">
        <f>INDEX(t_B3n4_Fixed[Offset],MATCH($A$7,t_B3n4[x],0),1)</f>
        <v>-38</v>
      </c>
      <c r="BF5" s="139">
        <v>0</v>
      </c>
      <c r="BG5" s="139">
        <v>2</v>
      </c>
      <c r="BH5" s="274" t="s">
        <v>211</v>
      </c>
      <c r="BJ5" s="17"/>
      <c r="BK5" s="139"/>
      <c r="BL5" s="139">
        <f>INDEX(t_B3n4_Fixed[Offset],MATCH($A$9,t_B3n4[x],0),1)</f>
        <v>-36</v>
      </c>
      <c r="BM5" s="139">
        <v>4</v>
      </c>
      <c r="BN5" s="276" t="s">
        <v>213</v>
      </c>
      <c r="BP5" s="17"/>
      <c r="BQ5" s="139"/>
      <c r="BR5" s="139">
        <f>INDEX(t_B3n4_Fixed[Offset],MATCH($A$10,t_B3n4[x],0),1)</f>
        <v>-35</v>
      </c>
      <c r="BS5" s="139">
        <v>0</v>
      </c>
      <c r="BT5" s="139">
        <v>5</v>
      </c>
      <c r="BU5" s="277" t="s">
        <v>214</v>
      </c>
      <c r="BW5" s="17"/>
      <c r="BX5" s="139"/>
      <c r="BY5" s="139">
        <f>INDEX(t_B3n4_Fixed[Offset],MATCH($A$12,t_B3n4[x],0),1)</f>
        <v>-33</v>
      </c>
      <c r="BZ5" s="139">
        <v>0</v>
      </c>
      <c r="CA5" s="139">
        <v>7</v>
      </c>
      <c r="CB5" s="279" t="s">
        <v>216</v>
      </c>
      <c r="CD5" s="17"/>
      <c r="CE5" s="139"/>
      <c r="CF5" s="139">
        <f>INDEX(t_B3n4_Fixed[Offset],MATCH($A$16,t_B3n4[x],0),1)</f>
        <v>-29</v>
      </c>
      <c r="CG5" s="139">
        <v>0</v>
      </c>
      <c r="CH5" s="139">
        <v>11</v>
      </c>
      <c r="CI5" s="283" t="s">
        <v>220</v>
      </c>
      <c r="CK5" s="17"/>
      <c r="CL5" s="139"/>
      <c r="CM5" s="139">
        <f>INDEX(t_B3n4_Fixed[Offset],MATCH($A$18,t_B3n4[x],0),1)</f>
        <v>-27</v>
      </c>
      <c r="CN5" s="139">
        <v>13</v>
      </c>
      <c r="CO5" s="284" t="s">
        <v>222</v>
      </c>
      <c r="CQ5" s="17"/>
      <c r="CR5" s="139"/>
      <c r="CS5" s="139">
        <f>INDEX(t_B3n4_Fixed[Offset],MATCH($A$19,t_B3n4[x],0),1)</f>
        <v>-26</v>
      </c>
      <c r="CT5" s="139">
        <v>0</v>
      </c>
      <c r="CU5" s="139">
        <v>14</v>
      </c>
      <c r="CV5" s="286" t="s">
        <v>223</v>
      </c>
      <c r="CW5" s="17"/>
      <c r="CY5" s="139"/>
      <c r="CZ5" s="320">
        <f>INDEX(t_B3n4_Fixed[Offset],MATCH($A$25,t_B3n4[x],0),1)</f>
        <v>-20</v>
      </c>
      <c r="DA5" s="314">
        <v>20</v>
      </c>
      <c r="DB5" s="347" t="s">
        <v>229</v>
      </c>
      <c r="DC5" s="27" t="s">
        <v>0</v>
      </c>
      <c r="DD5" s="17"/>
      <c r="DE5" s="139"/>
      <c r="DF5" s="139">
        <f>INDEX(t_B3n4_Fixed[Offset],MATCH($A$13,t_B3n4[x],0),1)</f>
        <v>-32</v>
      </c>
      <c r="DG5" s="139">
        <v>0</v>
      </c>
      <c r="DH5" s="289" t="s">
        <v>217</v>
      </c>
      <c r="DJ5" s="17"/>
      <c r="DK5" s="139"/>
      <c r="DL5" s="139">
        <f>INDEX(t_B3n4_Fixed[Offset],MATCH($A$21,t_B3n4[x],0),1)</f>
        <v>-24</v>
      </c>
      <c r="DM5" s="139">
        <v>0</v>
      </c>
      <c r="DN5" s="285" t="s">
        <v>225</v>
      </c>
      <c r="DP5" s="17"/>
    </row>
    <row r="6" spans="1:120" ht="15.75" thickBot="1" x14ac:dyDescent="0.3">
      <c r="A6" s="139">
        <v>1</v>
      </c>
      <c r="B6" s="139">
        <f>ROUNDUP(t_B3n4_Fixed[[#This Row],[Row]]-$B$3,0)</f>
        <v>-39</v>
      </c>
      <c r="C6" s="12">
        <f>t_B3n4[[#This Row],[x]]-D5</f>
        <v>1</v>
      </c>
      <c r="D6" s="9">
        <v>1</v>
      </c>
      <c r="E6" s="43">
        <f>MOD(INT(t_B3n4[[#This Row],[x]]/$B$1^INT(RIGHT(t_B3n4[[#Headers],[b3]],1))),$B$1)</f>
        <v>0</v>
      </c>
      <c r="F6" s="42">
        <f>MOD(INT(t_B3n4[[#This Row],[x]]/$B$1^INT(RIGHT(t_B3n4[[#Headers],[b2]],1))),$B$1)</f>
        <v>0</v>
      </c>
      <c r="G6" s="42">
        <f>MOD(INT(t_B3n4[[#This Row],[x]]/$B$1^INT(RIGHT(t_B3n4[[#Headers],[b1]],1))),$B$1)</f>
        <v>0</v>
      </c>
      <c r="H6" s="43">
        <f>MOD(INT(t_B3n4[[#This Row],[x]]/$B$1^INT(RIGHT(t_B3n4[[#Headers],[b0]],1))),$B$1)</f>
        <v>1</v>
      </c>
      <c r="I6" s="16" t="s">
        <v>3</v>
      </c>
      <c r="J6" s="16"/>
      <c r="K6" s="34" t="s">
        <v>21</v>
      </c>
      <c r="L6" s="35" t="s">
        <v>5</v>
      </c>
      <c r="M6" s="17"/>
      <c r="AL6" s="139">
        <f>t_B3n4_AB1[[#This Row],[Offset]]-AM5</f>
        <v>80</v>
      </c>
      <c r="AM6" s="325">
        <f>INDEX(t_B3n4_Fixed[Offset],MATCH($A$85,t_B3n4[x],0),1)</f>
        <v>40</v>
      </c>
      <c r="AN6" s="317">
        <v>80</v>
      </c>
      <c r="AO6" s="344" t="s">
        <v>288</v>
      </c>
      <c r="AR6" s="139">
        <f>t_B3n4_AB2[[#This Row],[Offset]]-AS5</f>
        <v>20</v>
      </c>
      <c r="AS6" s="334">
        <f>INDEX(t_B3n4_Fixed[Offset],MATCH($A$35,t_B3n4[x],0),1)</f>
        <v>-10</v>
      </c>
      <c r="AT6" s="315">
        <v>30</v>
      </c>
      <c r="AU6" s="245" t="s">
        <v>239</v>
      </c>
      <c r="AV6" s="25" t="s">
        <v>0</v>
      </c>
      <c r="AX6" s="139">
        <f>t_B3n4_AB3[[#This Row],[Offset]]-AY5</f>
        <v>2</v>
      </c>
      <c r="AY6" s="139">
        <f>INDEX(t_B3n4_Fixed[Offset],MATCH($A$8,t_B3n4[x],0),1)</f>
        <v>-37</v>
      </c>
      <c r="AZ6" s="139">
        <v>3</v>
      </c>
      <c r="BA6" s="255" t="s">
        <v>212</v>
      </c>
      <c r="BD6" s="139">
        <f>t_B3n4_AB4[[#This Row],[Offset]]-BE5</f>
        <v>4</v>
      </c>
      <c r="BE6" s="139">
        <f>INDEX(t_B3n4_Fixed[Offset],MATCH($A$11,t_B3n4[x],0),1)</f>
        <v>-34</v>
      </c>
      <c r="BF6" s="139">
        <v>1</v>
      </c>
      <c r="BG6" s="139">
        <v>6</v>
      </c>
      <c r="BH6" s="274" t="s">
        <v>215</v>
      </c>
      <c r="BJ6" s="17"/>
      <c r="BK6" s="139">
        <f>t_B3n4_AB5[[#This Row],[Offset]]-BL5</f>
        <v>8</v>
      </c>
      <c r="BL6" s="139">
        <f>INDEX(t_B3n4_Fixed[Offset],MATCH($A$17,t_B3n4[x],0),1)</f>
        <v>-28</v>
      </c>
      <c r="BM6" s="139">
        <v>12</v>
      </c>
      <c r="BN6" s="276" t="s">
        <v>221</v>
      </c>
      <c r="BP6" s="17"/>
      <c r="BQ6" s="139">
        <f>t_B3n4_AB6[[#This Row],[Offset]]-BR5</f>
        <v>10</v>
      </c>
      <c r="BR6" s="139">
        <f>INDEX(t_B3n4_Fixed[Offset],MATCH($A$20,t_B3n4[x],0),1)</f>
        <v>-25</v>
      </c>
      <c r="BS6" s="139">
        <v>1</v>
      </c>
      <c r="BT6" s="139">
        <v>15</v>
      </c>
      <c r="BU6" s="277" t="s">
        <v>224</v>
      </c>
      <c r="BW6" s="17"/>
      <c r="BX6" s="139">
        <f>t_B3n4_AB7[[#This Row],[Offset]]-BY5</f>
        <v>10</v>
      </c>
      <c r="BY6" s="139">
        <f>INDEX(t_B3n4_Fixed[Offset],MATCH($A$22,t_B3n4[x],0),1)</f>
        <v>-23</v>
      </c>
      <c r="BZ6" s="139">
        <v>4</v>
      </c>
      <c r="CA6" s="139">
        <v>17</v>
      </c>
      <c r="CB6" s="265" t="s">
        <v>226</v>
      </c>
      <c r="CD6" s="17"/>
      <c r="CE6" s="139">
        <f>t_B3n4_AB8[[#This Row],[Offset]]-CF5</f>
        <v>8</v>
      </c>
      <c r="CF6" s="139">
        <f>INDEX(t_B3n4_Fixed[Offset],MATCH($A$24,t_B3n4[x],0),1)</f>
        <v>-21</v>
      </c>
      <c r="CG6" s="139">
        <v>1</v>
      </c>
      <c r="CH6" s="139">
        <v>19</v>
      </c>
      <c r="CI6" s="283" t="s">
        <v>228</v>
      </c>
      <c r="CK6" s="17"/>
      <c r="CL6" s="139">
        <f>t_B3n4_AB9[[#This Row],[Offset]]-CM5</f>
        <v>18</v>
      </c>
      <c r="CM6" s="139">
        <f>INDEX(t_B3n4_Fixed[Offset],MATCH($A$36,t_B3n4[x],0),1)</f>
        <v>-9</v>
      </c>
      <c r="CN6" s="139">
        <v>31</v>
      </c>
      <c r="CO6" s="284" t="s">
        <v>240</v>
      </c>
      <c r="CQ6" s="17"/>
      <c r="CR6" s="139">
        <f>t_B3n4_AB10[[#This Row],[Offset]]-CS5</f>
        <v>8</v>
      </c>
      <c r="CS6" s="139">
        <f>INDEX(t_B3n4_Fixed[Offset],MATCH($A$27,t_B3n4[x],0),1)</f>
        <v>-18</v>
      </c>
      <c r="CT6" s="139">
        <v>4</v>
      </c>
      <c r="CU6" s="139">
        <v>22</v>
      </c>
      <c r="CV6" s="270" t="s">
        <v>231</v>
      </c>
      <c r="CW6" s="17"/>
      <c r="CY6" s="139">
        <f>t_B3n4_S1[[#This Row],[Offset]]-CZ5</f>
        <v>40</v>
      </c>
      <c r="CZ6" s="325">
        <f>INDEX(t_B3n4_Fixed[Offset],MATCH($A$65,t_B3n4[x],0),1)</f>
        <v>20</v>
      </c>
      <c r="DA6" s="317">
        <v>60</v>
      </c>
      <c r="DB6" s="348" t="s">
        <v>268</v>
      </c>
      <c r="DD6" s="17"/>
      <c r="DE6" s="139">
        <f>t_B3n4_S2[[#This Row],[Offset]]-DF5</f>
        <v>16</v>
      </c>
      <c r="DF6" s="6">
        <f>INDEX(t_B3n4_Fixed[Offset],MATCH($A$29,t_B3n4[x],0),1)</f>
        <v>-16</v>
      </c>
      <c r="DG6" s="6">
        <v>1</v>
      </c>
      <c r="DH6" s="299" t="s">
        <v>233</v>
      </c>
      <c r="DI6" s="25" t="s">
        <v>0</v>
      </c>
      <c r="DJ6" s="17"/>
      <c r="DK6" s="139">
        <f>t_B3n4_S3[[#This Row],[Offset]]-DL5</f>
        <v>16</v>
      </c>
      <c r="DL6" s="6">
        <f>INDEX(t_B3n4_Fixed[Offset],MATCH($A$37,t_B3n4[x],0),1)</f>
        <v>-8</v>
      </c>
      <c r="DM6" s="6">
        <v>1</v>
      </c>
      <c r="DN6" s="306" t="s">
        <v>241</v>
      </c>
      <c r="DO6" s="25" t="s">
        <v>0</v>
      </c>
      <c r="DP6" s="17"/>
    </row>
    <row r="7" spans="1:120" x14ac:dyDescent="0.25">
      <c r="A7" s="139">
        <v>2</v>
      </c>
      <c r="B7" s="139">
        <f>ROUNDUP(t_B3n4_Fixed[[#This Row],[Row]]-$B$3,0)</f>
        <v>-38</v>
      </c>
      <c r="C7" s="12">
        <f>t_B3n4[[#This Row],[x]]-D6</f>
        <v>1</v>
      </c>
      <c r="D7" s="1">
        <v>2</v>
      </c>
      <c r="E7" s="45">
        <f>MOD(INT(t_B3n4[[#This Row],[x]]/$B$1^INT(RIGHT(t_B3n4[[#Headers],[b3]],1))),$B$1)</f>
        <v>0</v>
      </c>
      <c r="F7" s="44">
        <f>MOD(INT(t_B3n4[[#This Row],[x]]/$B$1^INT(RIGHT(t_B3n4[[#Headers],[b2]],1))),$B$1)</f>
        <v>0</v>
      </c>
      <c r="G7" s="44">
        <f>MOD(INT(t_B3n4[[#This Row],[x]]/$B$1^INT(RIGHT(t_B3n4[[#Headers],[b1]],1))),$B$1)</f>
        <v>0</v>
      </c>
      <c r="H7" s="45">
        <f>MOD(INT(t_B3n4[[#This Row],[x]]/$B$1^INT(RIGHT(t_B3n4[[#Headers],[b0]],1))),$B$1)</f>
        <v>2</v>
      </c>
      <c r="I7" s="16"/>
      <c r="J7" s="16"/>
      <c r="K7" s="32" t="s">
        <v>13</v>
      </c>
      <c r="L7" s="33">
        <v>1</v>
      </c>
      <c r="M7" s="17"/>
      <c r="N7" s="89" t="s">
        <v>33</v>
      </c>
      <c r="O7" s="107" t="s">
        <v>34</v>
      </c>
      <c r="AR7" s="139">
        <f>t_B3n4_AB2[[#This Row],[Offset]]-AS6</f>
        <v>20</v>
      </c>
      <c r="AS7" s="345">
        <f>INDEX(t_B3n4_Fixed[Offset],MATCH($A$55,t_B3n4[x],0),1)</f>
        <v>10</v>
      </c>
      <c r="AT7" s="318">
        <v>50</v>
      </c>
      <c r="AU7" s="346" t="s">
        <v>258</v>
      </c>
      <c r="AX7" s="139">
        <f>t_B3n4_AB3[[#This Row],[Offset]]-AY6</f>
        <v>6</v>
      </c>
      <c r="AY7" s="139">
        <f>INDEX(t_B3n4_Fixed[Offset],MATCH($A$14,t_B3n4[x],0),1)</f>
        <v>-31</v>
      </c>
      <c r="AZ7" s="139">
        <v>9</v>
      </c>
      <c r="BA7" s="255" t="s">
        <v>218</v>
      </c>
      <c r="BD7" s="139">
        <f>t_B3n4_AB4[[#This Row],[Offset]]-BE6</f>
        <v>12</v>
      </c>
      <c r="BE7" s="139">
        <f>INDEX(t_B3n4_Fixed[Offset],MATCH($A$23,t_B3n4[x],0),1)</f>
        <v>-22</v>
      </c>
      <c r="BF7" s="139">
        <v>2</v>
      </c>
      <c r="BG7" s="139">
        <v>18</v>
      </c>
      <c r="BH7" s="274" t="s">
        <v>227</v>
      </c>
      <c r="BJ7" s="17"/>
      <c r="BK7" s="139">
        <f>t_B3n4_AB5[[#This Row],[Offset]]-BL6</f>
        <v>16</v>
      </c>
      <c r="BL7" s="139">
        <f>INDEX(t_B3n4_Fixed[Offset],MATCH($A$33,t_B3n4[x],0),1)</f>
        <v>-12</v>
      </c>
      <c r="BM7" s="139">
        <v>28</v>
      </c>
      <c r="BN7" s="276" t="s">
        <v>237</v>
      </c>
      <c r="BP7" s="17"/>
      <c r="BQ7" s="139">
        <f>t_B3n4_AB6[[#This Row],[Offset]]-BR6</f>
        <v>10</v>
      </c>
      <c r="BR7" s="139">
        <f>INDEX(t_B3n4_Fixed[Offset],MATCH($A$30,t_B3n4[x],0),1)</f>
        <v>-15</v>
      </c>
      <c r="BS7" s="139">
        <v>4</v>
      </c>
      <c r="BT7" s="139">
        <v>25</v>
      </c>
      <c r="BU7" s="278" t="s">
        <v>234</v>
      </c>
      <c r="BW7" s="17"/>
      <c r="BX7" s="139">
        <f>t_B3n4_AB7[[#This Row],[Offset]]-BY6</f>
        <v>4</v>
      </c>
      <c r="BY7" s="139">
        <f>INDEX(t_B3n4_Fixed[Offset],MATCH($A$26,t_B3n4[x],0),1)</f>
        <v>-19</v>
      </c>
      <c r="BZ7" s="139">
        <v>1</v>
      </c>
      <c r="CA7" s="139">
        <v>21</v>
      </c>
      <c r="CB7" s="279" t="s">
        <v>230</v>
      </c>
      <c r="CD7" s="17"/>
      <c r="CE7" s="139">
        <f>t_B3n4_AB8[[#This Row],[Offset]]-CF6</f>
        <v>4</v>
      </c>
      <c r="CF7" s="139">
        <f>INDEX(t_B3n4_Fixed[Offset],MATCH($A$28,t_B3n4[x],0),1)</f>
        <v>-17</v>
      </c>
      <c r="CG7" s="139">
        <v>4</v>
      </c>
      <c r="CH7" s="139">
        <v>23</v>
      </c>
      <c r="CI7" s="268" t="s">
        <v>232</v>
      </c>
      <c r="CK7" s="17"/>
      <c r="CL7" s="139">
        <f>t_B3n4_AB9[[#This Row],[Offset]]-CM6</f>
        <v>6</v>
      </c>
      <c r="CM7" s="139">
        <f>INDEX(t_B3n4_Fixed[Offset],MATCH($A$42,t_B3n4[x],0),1)</f>
        <v>-3</v>
      </c>
      <c r="CN7" s="139">
        <v>37</v>
      </c>
      <c r="CO7" s="284" t="s">
        <v>246</v>
      </c>
      <c r="CQ7" s="17"/>
      <c r="CR7" s="139">
        <f>t_B3n4_AB10[[#This Row],[Offset]]-CS6</f>
        <v>12</v>
      </c>
      <c r="CS7" s="139">
        <f>INDEX(t_B3n4_Fixed[Offset],MATCH($A$39,t_B3n4[x],0),1)</f>
        <v>-6</v>
      </c>
      <c r="CT7" s="139">
        <v>5</v>
      </c>
      <c r="CU7" s="139">
        <v>34</v>
      </c>
      <c r="CV7" s="270" t="s">
        <v>243</v>
      </c>
      <c r="CW7" s="17"/>
      <c r="CY7" s="17"/>
      <c r="CZ7" s="17"/>
      <c r="DA7" s="17"/>
      <c r="DB7" s="17"/>
      <c r="DD7" s="17"/>
      <c r="DE7" s="139">
        <f>t_B3n4_S2[[#This Row],[Offset]]-DF6</f>
        <v>32</v>
      </c>
      <c r="DF7" s="139">
        <f>INDEX(t_B3n4_Fixed[Offset],MATCH($A$61,t_B3n4[x],0),1)</f>
        <v>16</v>
      </c>
      <c r="DG7" s="139">
        <v>2</v>
      </c>
      <c r="DH7" s="289" t="s">
        <v>264</v>
      </c>
      <c r="DJ7" s="17"/>
      <c r="DK7" s="139">
        <f>t_B3n4_S3[[#This Row],[Offset]]-DL6</f>
        <v>16</v>
      </c>
      <c r="DL7" s="139">
        <f>INDEX(t_B3n4_Fixed[Offset],MATCH($A$53,t_B3n4[x],0),1)</f>
        <v>8</v>
      </c>
      <c r="DM7" s="139">
        <v>2</v>
      </c>
      <c r="DN7" s="285" t="s">
        <v>256</v>
      </c>
      <c r="DP7" s="17"/>
    </row>
    <row r="8" spans="1:120" ht="15.75" thickBot="1" x14ac:dyDescent="0.3">
      <c r="A8" s="139">
        <v>3</v>
      </c>
      <c r="B8" s="139">
        <f>ROUNDUP(t_B3n4_Fixed[[#This Row],[Row]]-$B$3,0)</f>
        <v>-37</v>
      </c>
      <c r="C8" s="12">
        <f>t_B3n4[[#This Row],[x]]-D7</f>
        <v>1</v>
      </c>
      <c r="D8" s="1">
        <v>3</v>
      </c>
      <c r="E8" s="43">
        <f>MOD(INT(t_B3n4[[#This Row],[x]]/$B$1^INT(RIGHT(t_B3n4[[#Headers],[b3]],1))),$B$1)</f>
        <v>0</v>
      </c>
      <c r="F8" s="42">
        <f>MOD(INT(t_B3n4[[#This Row],[x]]/$B$1^INT(RIGHT(t_B3n4[[#Headers],[b2]],1))),$B$1)</f>
        <v>0</v>
      </c>
      <c r="G8" s="42">
        <f>MOD(INT(t_B3n4[[#This Row],[x]]/$B$1^INT(RIGHT(t_B3n4[[#Headers],[b1]],1))),$B$1)</f>
        <v>1</v>
      </c>
      <c r="H8" s="43">
        <f>MOD(INT(t_B3n4[[#This Row],[x]]/$B$1^INT(RIGHT(t_B3n4[[#Headers],[b0]],1))),$B$1)</f>
        <v>0</v>
      </c>
      <c r="I8" s="16"/>
      <c r="J8" s="16"/>
      <c r="K8" s="30" t="s">
        <v>20</v>
      </c>
      <c r="L8" s="31">
        <v>1</v>
      </c>
      <c r="M8" s="17"/>
      <c r="N8" s="103" t="s">
        <v>36</v>
      </c>
      <c r="O8" s="102" t="s">
        <v>37</v>
      </c>
      <c r="AR8" s="139">
        <f>t_B3n4_AB2[[#This Row],[Offset]]-AS7</f>
        <v>20</v>
      </c>
      <c r="AS8" s="334">
        <f>INDEX(t_B3n4_Fixed[Offset],MATCH($A$75,t_B3n4[x],0),1)</f>
        <v>30</v>
      </c>
      <c r="AT8" s="315">
        <v>70</v>
      </c>
      <c r="AU8" s="243" t="s">
        <v>278</v>
      </c>
      <c r="AX8" s="139">
        <f>t_B3n4_AB3[[#This Row],[Offset]]-AY7</f>
        <v>18</v>
      </c>
      <c r="AY8" s="6">
        <f>INDEX(t_B3n4_Fixed[Offset],MATCH($A$32,t_B3n4[x],0),1)</f>
        <v>-13</v>
      </c>
      <c r="AZ8" s="6">
        <v>27</v>
      </c>
      <c r="BA8" s="295" t="s">
        <v>236</v>
      </c>
      <c r="BB8" s="27" t="s">
        <v>0</v>
      </c>
      <c r="BD8" s="139">
        <f>t_B3n4_AB4[[#This Row],[Offset]]-BE7</f>
        <v>8</v>
      </c>
      <c r="BE8" s="6">
        <f>INDEX(t_B3n4_Fixed[Offset],MATCH($A$31,t_B3n4[x],0),1)</f>
        <v>-14</v>
      </c>
      <c r="BF8" s="6">
        <v>4</v>
      </c>
      <c r="BG8" s="6">
        <v>26</v>
      </c>
      <c r="BH8" s="311" t="s">
        <v>235</v>
      </c>
      <c r="BI8" s="27" t="s">
        <v>0</v>
      </c>
      <c r="BJ8" s="17"/>
      <c r="BK8" s="139">
        <f>t_B3n4_AB5[[#This Row],[Offset]]-BL7</f>
        <v>8</v>
      </c>
      <c r="BL8" s="6">
        <f>INDEX(t_B3n4_Fixed[Offset],MATCH($A$41,t_B3n4[x],0),1)</f>
        <v>-4</v>
      </c>
      <c r="BM8" s="6">
        <v>36</v>
      </c>
      <c r="BN8" s="298" t="s">
        <v>245</v>
      </c>
      <c r="BO8" s="27" t="s">
        <v>0</v>
      </c>
      <c r="BP8" s="17"/>
      <c r="BQ8" s="139">
        <f>t_B3n4_AB6[[#This Row],[Offset]]-BR7</f>
        <v>10</v>
      </c>
      <c r="BR8" s="6">
        <f>INDEX(t_B3n4_Fixed[Offset],MATCH($A$40,t_B3n4[x],0),1)</f>
        <v>-5</v>
      </c>
      <c r="BS8" s="6">
        <v>5</v>
      </c>
      <c r="BT8" s="6">
        <v>35</v>
      </c>
      <c r="BU8" s="307" t="s">
        <v>244</v>
      </c>
      <c r="BV8" s="27" t="s">
        <v>0</v>
      </c>
      <c r="BW8" s="17"/>
      <c r="BX8" s="139">
        <f>t_B3n4_AB7[[#This Row],[Offset]]-BY7</f>
        <v>8</v>
      </c>
      <c r="BY8" s="6">
        <f>INDEX(t_B3n4_Fixed[Offset],MATCH($A$34,t_B3n4[x],0),1)</f>
        <v>-11</v>
      </c>
      <c r="BZ8" s="6">
        <v>2</v>
      </c>
      <c r="CA8" s="6">
        <v>29</v>
      </c>
      <c r="CB8" s="297" t="s">
        <v>238</v>
      </c>
      <c r="CC8" s="27" t="s">
        <v>0</v>
      </c>
      <c r="CD8" s="17"/>
      <c r="CE8" s="139">
        <f>t_B3n4_AB8[[#This Row],[Offset]]-CF7</f>
        <v>10</v>
      </c>
      <c r="CF8" s="6">
        <f>INDEX(t_B3n4_Fixed[Offset],MATCH($A$38,t_B3n4[x],0),1)</f>
        <v>-7</v>
      </c>
      <c r="CG8" s="6">
        <v>2</v>
      </c>
      <c r="CH8" s="6">
        <v>33</v>
      </c>
      <c r="CI8" s="304" t="s">
        <v>242</v>
      </c>
      <c r="CJ8" s="27" t="s">
        <v>0</v>
      </c>
      <c r="CK8" s="17"/>
      <c r="CL8" s="139">
        <f>t_B3n4_AB9[[#This Row],[Offset]]-CM7</f>
        <v>2</v>
      </c>
      <c r="CM8" s="6">
        <f>INDEX(t_B3n4_Fixed[Offset],MATCH($A$44,t_B3n4[x],0),1)</f>
        <v>-1</v>
      </c>
      <c r="CN8" s="6">
        <v>39</v>
      </c>
      <c r="CO8" s="305" t="s">
        <v>248</v>
      </c>
      <c r="CP8" s="27" t="s">
        <v>0</v>
      </c>
      <c r="CQ8" s="17"/>
      <c r="CR8" s="139">
        <f>t_B3n4_AB10[[#This Row],[Offset]]-CS7</f>
        <v>4</v>
      </c>
      <c r="CS8" s="6">
        <f>INDEX(t_B3n4_Fixed[Offset],MATCH($A$43,t_B3n4[x],0),1)</f>
        <v>-2</v>
      </c>
      <c r="CT8" s="6">
        <v>6</v>
      </c>
      <c r="CU8" s="6">
        <v>38</v>
      </c>
      <c r="CV8" s="362" t="s">
        <v>247</v>
      </c>
      <c r="CW8" s="27" t="s">
        <v>0</v>
      </c>
      <c r="CY8" s="17"/>
      <c r="CZ8" s="17"/>
      <c r="DA8" s="17"/>
      <c r="DB8" s="17"/>
      <c r="DD8" s="17"/>
      <c r="DE8" s="139">
        <f>t_B3n4_S2[[#This Row],[Offset]]-DF7</f>
        <v>16</v>
      </c>
      <c r="DF8" s="139">
        <f>INDEX(t_B3n4_Fixed[Offset],MATCH($A$77,t_B3n4[x],0),1)</f>
        <v>32</v>
      </c>
      <c r="DG8" s="139">
        <v>3</v>
      </c>
      <c r="DH8" s="289" t="s">
        <v>280</v>
      </c>
      <c r="DJ8" s="17"/>
      <c r="DK8" s="139">
        <f>t_B3n4_S3[[#This Row],[Offset]]-DL7</f>
        <v>16</v>
      </c>
      <c r="DL8" s="139">
        <f>INDEX(t_B3n4_Fixed[Offset],MATCH($A$69,t_B3n4[x],0),1)</f>
        <v>24</v>
      </c>
      <c r="DM8" s="139">
        <v>3</v>
      </c>
      <c r="DN8" s="285" t="s">
        <v>272</v>
      </c>
      <c r="DP8" s="17"/>
    </row>
    <row r="9" spans="1:120" x14ac:dyDescent="0.25">
      <c r="A9" s="139">
        <v>4</v>
      </c>
      <c r="B9" s="139">
        <f>ROUNDUP(t_B3n4_Fixed[[#This Row],[Row]]-$B$3,0)</f>
        <v>-36</v>
      </c>
      <c r="C9" s="12">
        <f>t_B3n4[[#This Row],[x]]-D8</f>
        <v>1</v>
      </c>
      <c r="D9" s="1">
        <v>4</v>
      </c>
      <c r="E9" s="86">
        <f>MOD(INT(t_B3n4[[#This Row],[x]]/$B$1^INT(RIGHT(t_B3n4[[#Headers],[b3]],1))),$B$1)</f>
        <v>0</v>
      </c>
      <c r="F9" s="85">
        <f>MOD(INT(t_B3n4[[#This Row],[x]]/$B$1^INT(RIGHT(t_B3n4[[#Headers],[b2]],1))),$B$1)</f>
        <v>0</v>
      </c>
      <c r="G9" s="85">
        <f>MOD(INT(t_B3n4[[#This Row],[x]]/$B$1^INT(RIGHT(t_B3n4[[#Headers],[b1]],1))),$B$1)</f>
        <v>1</v>
      </c>
      <c r="H9" s="86">
        <f>MOD(INT(t_B3n4[[#This Row],[x]]/$B$1^INT(RIGHT(t_B3n4[[#Headers],[b0]],1))),$B$1)</f>
        <v>1</v>
      </c>
      <c r="I9" s="16"/>
      <c r="J9" s="16"/>
      <c r="K9" s="30" t="s">
        <v>14</v>
      </c>
      <c r="L9" s="31">
        <v>8</v>
      </c>
      <c r="M9" s="17"/>
      <c r="N9" s="90" t="s">
        <v>39</v>
      </c>
      <c r="O9" s="96" t="s">
        <v>40</v>
      </c>
      <c r="Q9" s="91" t="s">
        <v>41</v>
      </c>
      <c r="R9" s="97" t="s">
        <v>42</v>
      </c>
      <c r="T9" s="92" t="s">
        <v>43</v>
      </c>
      <c r="U9" s="183" t="s">
        <v>44</v>
      </c>
      <c r="W9" s="93" t="s">
        <v>45</v>
      </c>
      <c r="X9" s="99" t="s">
        <v>46</v>
      </c>
      <c r="Z9" s="94" t="s">
        <v>47</v>
      </c>
      <c r="AA9" s="100" t="s">
        <v>48</v>
      </c>
      <c r="AC9" s="104" t="s">
        <v>49</v>
      </c>
      <c r="AD9" s="182" t="s">
        <v>50</v>
      </c>
      <c r="AF9" s="106" t="s">
        <v>51</v>
      </c>
      <c r="AG9" s="101" t="s">
        <v>52</v>
      </c>
      <c r="AI9" s="181" t="s">
        <v>53</v>
      </c>
      <c r="AJ9" s="105" t="s">
        <v>54</v>
      </c>
      <c r="AS9" s="17"/>
      <c r="AT9" s="17"/>
      <c r="AU9" s="17"/>
      <c r="AX9" s="139">
        <f>t_B3n4_AB3[[#This Row],[Offset]]-AY8</f>
        <v>26</v>
      </c>
      <c r="AY9" s="139">
        <f>INDEX(t_B3n4_Fixed[Offset],MATCH($A$58,t_B3n4[x],0),1)</f>
        <v>13</v>
      </c>
      <c r="AZ9" s="139">
        <v>53</v>
      </c>
      <c r="BA9" s="273" t="s">
        <v>261</v>
      </c>
      <c r="BD9" s="139">
        <f>t_B3n4_AB4[[#This Row],[Offset]]-BE8</f>
        <v>28</v>
      </c>
      <c r="BE9" s="139">
        <f>INDEX(t_B3n4_Fixed[Offset],MATCH($A$59,t_B3n4[x],0),1)</f>
        <v>14</v>
      </c>
      <c r="BF9" s="139">
        <v>3</v>
      </c>
      <c r="BG9" s="139">
        <v>54</v>
      </c>
      <c r="BH9" s="274" t="s">
        <v>262</v>
      </c>
      <c r="BJ9" s="17"/>
      <c r="BK9" s="139">
        <f>t_B3n4_AB5[[#This Row],[Offset]]-BL8</f>
        <v>8</v>
      </c>
      <c r="BL9" s="139">
        <f>INDEX(t_B3n4_Fixed[Offset],MATCH($A$49,t_B3n4[x],0),1)</f>
        <v>4</v>
      </c>
      <c r="BM9" s="139">
        <v>44</v>
      </c>
      <c r="BN9" s="226" t="s">
        <v>252</v>
      </c>
      <c r="BP9" s="17"/>
      <c r="BQ9" s="139">
        <f>t_B3n4_AB6[[#This Row],[Offset]]-BR8</f>
        <v>10</v>
      </c>
      <c r="BR9" s="139">
        <f>INDEX(t_B3n4_Fixed[Offset],MATCH($A$50,t_B3n4[x],0),1)</f>
        <v>5</v>
      </c>
      <c r="BS9" s="139">
        <v>2</v>
      </c>
      <c r="BT9" s="139">
        <v>45</v>
      </c>
      <c r="BU9" s="277" t="s">
        <v>253</v>
      </c>
      <c r="BW9" s="17"/>
      <c r="BX9" s="139">
        <f>t_B3n4_AB7[[#This Row],[Offset]]-BY8</f>
        <v>22</v>
      </c>
      <c r="BY9" s="139">
        <f>INDEX(t_B3n4_Fixed[Offset],MATCH($A$56,t_B3n4[x],0),1)</f>
        <v>11</v>
      </c>
      <c r="BZ9" s="139">
        <v>5</v>
      </c>
      <c r="CA9" s="139">
        <v>51</v>
      </c>
      <c r="CB9" s="265" t="s">
        <v>259</v>
      </c>
      <c r="CD9" s="17"/>
      <c r="CE9" s="139">
        <f>t_B3n4_AB8[[#This Row],[Offset]]-CF8</f>
        <v>14</v>
      </c>
      <c r="CF9" s="139">
        <f>INDEX(t_B3n4_Fixed[Offset],MATCH($A$52,t_B3n4[x],0),1)</f>
        <v>7</v>
      </c>
      <c r="CG9" s="139">
        <v>5</v>
      </c>
      <c r="CH9" s="139">
        <v>47</v>
      </c>
      <c r="CI9" s="268" t="s">
        <v>255</v>
      </c>
      <c r="CK9" s="17"/>
      <c r="CL9" s="139">
        <f>t_B3n4_AB9[[#This Row],[Offset]]-CM8</f>
        <v>2</v>
      </c>
      <c r="CM9" s="139">
        <f>INDEX(t_B3n4_Fixed[Offset],MATCH($A$46,t_B3n4[x],0),1)</f>
        <v>1</v>
      </c>
      <c r="CN9" s="139">
        <v>41</v>
      </c>
      <c r="CO9" s="269" t="s">
        <v>249</v>
      </c>
      <c r="CQ9" s="17"/>
      <c r="CR9" s="139">
        <f>t_B3n4_AB10[[#This Row],[Offset]]-CS8</f>
        <v>4</v>
      </c>
      <c r="CS9" s="139">
        <f>INDEX(t_B3n4_Fixed[Offset],MATCH($A$47,t_B3n4[x],0),1)</f>
        <v>2</v>
      </c>
      <c r="CT9" s="139">
        <v>1</v>
      </c>
      <c r="CU9" s="139">
        <v>42</v>
      </c>
      <c r="CV9" s="286" t="s">
        <v>250</v>
      </c>
      <c r="CW9" s="17"/>
      <c r="CY9" s="17"/>
      <c r="CZ9" s="17"/>
      <c r="DA9" s="17"/>
      <c r="DB9" s="17"/>
      <c r="DD9" s="17"/>
      <c r="DE9" s="17"/>
      <c r="DF9" s="17"/>
      <c r="DG9" s="17"/>
      <c r="DH9" s="17"/>
      <c r="DJ9" s="17"/>
      <c r="DK9" s="17"/>
      <c r="DL9" s="17"/>
      <c r="DM9" s="17"/>
      <c r="DN9" s="17"/>
      <c r="DP9" s="17"/>
    </row>
    <row r="10" spans="1:120" x14ac:dyDescent="0.25">
      <c r="A10" s="139">
        <v>5</v>
      </c>
      <c r="B10" s="139">
        <f>ROUNDUP(t_B3n4_Fixed[[#This Row],[Row]]-$B$3,0)</f>
        <v>-35</v>
      </c>
      <c r="C10" s="12">
        <f>t_B3n4[[#This Row],[x]]-D9</f>
        <v>1</v>
      </c>
      <c r="D10" s="1">
        <v>5</v>
      </c>
      <c r="E10" s="88">
        <f>MOD(INT(t_B3n4[[#This Row],[x]]/$B$1^INT(RIGHT(t_B3n4[[#Headers],[b3]],1))),$B$1)</f>
        <v>0</v>
      </c>
      <c r="F10" s="87">
        <f>MOD(INT(t_B3n4[[#This Row],[x]]/$B$1^INT(RIGHT(t_B3n4[[#Headers],[b2]],1))),$B$1)</f>
        <v>0</v>
      </c>
      <c r="G10" s="87">
        <f>MOD(INT(t_B3n4[[#This Row],[x]]/$B$1^INT(RIGHT(t_B3n4[[#Headers],[b1]],1))),$B$1)</f>
        <v>1</v>
      </c>
      <c r="H10" s="88">
        <f>MOD(INT(t_B3n4[[#This Row],[x]]/$B$1^INT(RIGHT(t_B3n4[[#Headers],[b0]],1))),$B$1)</f>
        <v>2</v>
      </c>
      <c r="I10" s="16"/>
      <c r="J10" s="16"/>
      <c r="K10" s="30" t="s">
        <v>23</v>
      </c>
      <c r="L10" s="31">
        <v>1</v>
      </c>
      <c r="M10" s="17"/>
      <c r="N10" s="109" t="s">
        <v>35</v>
      </c>
      <c r="AS10" s="17"/>
      <c r="AT10" s="17"/>
      <c r="AU10" s="17"/>
      <c r="AX10" s="139">
        <f>t_B3n4_AB3[[#This Row],[Offset]]-AY9</f>
        <v>18</v>
      </c>
      <c r="AY10" s="139">
        <f>INDEX(t_B3n4_Fixed[Offset],MATCH($A$76,t_B3n4[x],0),1)</f>
        <v>31</v>
      </c>
      <c r="AZ10" s="139">
        <v>71</v>
      </c>
      <c r="BA10" s="273" t="s">
        <v>279</v>
      </c>
      <c r="BD10" s="139">
        <f>t_B3n4_AB4[[#This Row],[Offset]]-BE9</f>
        <v>8</v>
      </c>
      <c r="BE10" s="139">
        <f>INDEX(t_B3n4_Fixed[Offset],MATCH($A$67,t_B3n4[x],0),1)</f>
        <v>22</v>
      </c>
      <c r="BF10" s="139">
        <v>5</v>
      </c>
      <c r="BG10" s="139">
        <v>62</v>
      </c>
      <c r="BH10" s="275" t="s">
        <v>270</v>
      </c>
      <c r="BJ10" s="17"/>
      <c r="BK10" s="139">
        <f>t_B3n4_AB5[[#This Row],[Offset]]-BL9</f>
        <v>8</v>
      </c>
      <c r="BL10" s="139">
        <f>INDEX(t_B3n4_Fixed[Offset],MATCH($A$57,t_B3n4[x],0),1)</f>
        <v>12</v>
      </c>
      <c r="BM10" s="139">
        <v>52</v>
      </c>
      <c r="BN10" s="226" t="s">
        <v>260</v>
      </c>
      <c r="BP10" s="17"/>
      <c r="BQ10" s="139">
        <f>t_B3n4_AB6[[#This Row],[Offset]]-BR9</f>
        <v>10</v>
      </c>
      <c r="BR10" s="139">
        <f>INDEX(t_B3n4_Fixed[Offset],MATCH($A$60,t_B3n4[x],0),1)</f>
        <v>15</v>
      </c>
      <c r="BS10" s="139">
        <v>3</v>
      </c>
      <c r="BT10" s="139">
        <v>55</v>
      </c>
      <c r="BU10" s="277" t="s">
        <v>263</v>
      </c>
      <c r="BW10" s="17"/>
      <c r="BX10" s="139">
        <f>t_B3n4_AB7[[#This Row],[Offset]]-BY9</f>
        <v>8</v>
      </c>
      <c r="BY10" s="139">
        <f>INDEX(t_B3n4_Fixed[Offset],MATCH($A$64,t_B3n4[x],0),1)</f>
        <v>19</v>
      </c>
      <c r="BZ10" s="139">
        <v>6</v>
      </c>
      <c r="CA10" s="139">
        <v>59</v>
      </c>
      <c r="CB10" s="265" t="s">
        <v>267</v>
      </c>
      <c r="CD10" s="17"/>
      <c r="CE10" s="139">
        <f>t_B3n4_AB8[[#This Row],[Offset]]-CF9</f>
        <v>10</v>
      </c>
      <c r="CF10" s="139">
        <f>INDEX(t_B3n4_Fixed[Offset],MATCH($A$62,t_B3n4[x],0),1)</f>
        <v>17</v>
      </c>
      <c r="CG10" s="139">
        <v>3</v>
      </c>
      <c r="CH10" s="139">
        <v>57</v>
      </c>
      <c r="CI10" s="283" t="s">
        <v>265</v>
      </c>
      <c r="CK10" s="17"/>
      <c r="CL10" s="139">
        <f>t_B3n4_AB9[[#This Row],[Offset]]-CM9</f>
        <v>2</v>
      </c>
      <c r="CM10" s="139">
        <f>INDEX(t_B3n4_Fixed[Offset],MATCH($A$48,t_B3n4[x],0),1)</f>
        <v>3</v>
      </c>
      <c r="CN10" s="139">
        <v>43</v>
      </c>
      <c r="CO10" s="269" t="s">
        <v>251</v>
      </c>
      <c r="CQ10" s="17"/>
      <c r="CR10" s="139">
        <f>t_B3n4_AB10[[#This Row],[Offset]]-CS9</f>
        <v>4</v>
      </c>
      <c r="CS10" s="139">
        <f>INDEX(t_B3n4_Fixed[Offset],MATCH($A$51,t_B3n4[x],0),1)</f>
        <v>6</v>
      </c>
      <c r="CT10" s="139">
        <v>2</v>
      </c>
      <c r="CU10" s="139">
        <v>46</v>
      </c>
      <c r="CV10" s="286" t="s">
        <v>254</v>
      </c>
      <c r="CW10" s="17"/>
      <c r="CY10" s="17"/>
      <c r="CZ10" s="17"/>
      <c r="DA10" s="17"/>
      <c r="DB10" s="17"/>
      <c r="DD10" s="17"/>
      <c r="DE10" s="17"/>
      <c r="DF10" s="17"/>
      <c r="DG10" s="17"/>
      <c r="DH10" s="17"/>
      <c r="DJ10" s="17"/>
      <c r="DK10" s="17"/>
      <c r="DL10" s="17"/>
      <c r="DM10" s="17"/>
      <c r="DN10" s="17"/>
      <c r="DP10" s="17"/>
    </row>
    <row r="11" spans="1:120" ht="15.75" thickBot="1" x14ac:dyDescent="0.3">
      <c r="A11" s="139">
        <v>6</v>
      </c>
      <c r="B11" s="139">
        <f>ROUNDUP(t_B3n4_Fixed[[#This Row],[Row]]-$B$3,0)</f>
        <v>-34</v>
      </c>
      <c r="C11" s="12">
        <f>t_B3n4[[#This Row],[x]]-D10</f>
        <v>1</v>
      </c>
      <c r="D11" s="1">
        <v>6</v>
      </c>
      <c r="E11" s="45">
        <f>MOD(INT(t_B3n4[[#This Row],[x]]/$B$1^INT(RIGHT(t_B3n4[[#Headers],[b3]],1))),$B$1)</f>
        <v>0</v>
      </c>
      <c r="F11" s="44">
        <f>MOD(INT(t_B3n4[[#This Row],[x]]/$B$1^INT(RIGHT(t_B3n4[[#Headers],[b2]],1))),$B$1)</f>
        <v>0</v>
      </c>
      <c r="G11" s="44">
        <f>MOD(INT(t_B3n4[[#This Row],[x]]/$B$1^INT(RIGHT(t_B3n4[[#Headers],[b1]],1))),$B$1)</f>
        <v>2</v>
      </c>
      <c r="H11" s="45">
        <f>MOD(INT(t_B3n4[[#This Row],[x]]/$B$1^INT(RIGHT(t_B3n4[[#Headers],[b0]],1))),$B$1)</f>
        <v>0</v>
      </c>
      <c r="I11" s="16"/>
      <c r="J11" s="16"/>
      <c r="K11" s="36" t="s">
        <v>22</v>
      </c>
      <c r="L11" s="37">
        <v>2</v>
      </c>
      <c r="N11" s="189" t="s">
        <v>38</v>
      </c>
      <c r="P11" s="108" t="s">
        <v>55</v>
      </c>
      <c r="AS11" s="17"/>
      <c r="AT11" s="17"/>
      <c r="AU11" s="17"/>
      <c r="AX11" s="139">
        <f>t_B3n4_AB3[[#This Row],[Offset]]-AY10</f>
        <v>6</v>
      </c>
      <c r="AY11" s="139">
        <f>INDEX(t_B3n4_Fixed[Offset],MATCH($A$82,t_B3n4[x],0),1)</f>
        <v>37</v>
      </c>
      <c r="AZ11" s="139">
        <v>77</v>
      </c>
      <c r="BA11" s="273" t="s">
        <v>285</v>
      </c>
      <c r="BD11" s="139">
        <f>t_B3n4_AB4[[#This Row],[Offset]]-BE10</f>
        <v>12</v>
      </c>
      <c r="BE11" s="139">
        <f>INDEX(t_B3n4_Fixed[Offset],MATCH($A$79,t_B3n4[x],0),1)</f>
        <v>34</v>
      </c>
      <c r="BF11" s="139">
        <v>6</v>
      </c>
      <c r="BG11" s="139">
        <v>74</v>
      </c>
      <c r="BH11" s="275" t="s">
        <v>282</v>
      </c>
      <c r="BJ11" s="17"/>
      <c r="BK11" s="139">
        <f>t_B3n4_AB5[[#This Row],[Offset]]-BL10</f>
        <v>16</v>
      </c>
      <c r="BL11" s="139">
        <f>INDEX(t_B3n4_Fixed[Offset],MATCH($A$73,t_B3n4[x],0),1)</f>
        <v>28</v>
      </c>
      <c r="BM11" s="139">
        <v>68</v>
      </c>
      <c r="BN11" s="226" t="s">
        <v>276</v>
      </c>
      <c r="BP11" s="17"/>
      <c r="BQ11" s="139">
        <f>t_B3n4_AB6[[#This Row],[Offset]]-BR10</f>
        <v>10</v>
      </c>
      <c r="BR11" s="139">
        <f>INDEX(t_B3n4_Fixed[Offset],MATCH($A$70,t_B3n4[x],0),1)</f>
        <v>25</v>
      </c>
      <c r="BS11" s="139">
        <v>6</v>
      </c>
      <c r="BT11" s="139">
        <v>65</v>
      </c>
      <c r="BU11" s="278" t="s">
        <v>273</v>
      </c>
      <c r="BW11" s="17"/>
      <c r="BX11" s="139">
        <f>t_B3n4_AB7[[#This Row],[Offset]]-BY10</f>
        <v>4</v>
      </c>
      <c r="BY11" s="139">
        <f>INDEX(t_B3n4_Fixed[Offset],MATCH($A$68,t_B3n4[x],0),1)</f>
        <v>23</v>
      </c>
      <c r="BZ11" s="139">
        <v>3</v>
      </c>
      <c r="CA11" s="139">
        <v>63</v>
      </c>
      <c r="CB11" s="279" t="s">
        <v>271</v>
      </c>
      <c r="CD11" s="17"/>
      <c r="CE11" s="139">
        <f>t_B3n4_AB8[[#This Row],[Offset]]-CF10</f>
        <v>4</v>
      </c>
      <c r="CF11" s="139">
        <f>INDEX(t_B3n4_Fixed[Offset],MATCH($A$66,t_B3n4[x],0),1)</f>
        <v>21</v>
      </c>
      <c r="CG11" s="139">
        <v>6</v>
      </c>
      <c r="CH11" s="139">
        <v>61</v>
      </c>
      <c r="CI11" s="268" t="s">
        <v>269</v>
      </c>
      <c r="CK11" s="17"/>
      <c r="CL11" s="139">
        <f>t_B3n4_AB9[[#This Row],[Offset]]-CM10</f>
        <v>6</v>
      </c>
      <c r="CM11" s="139">
        <f>INDEX(t_B3n4_Fixed[Offset],MATCH($A$54,t_B3n4[x],0),1)</f>
        <v>9</v>
      </c>
      <c r="CN11" s="139">
        <v>49</v>
      </c>
      <c r="CO11" s="269" t="s">
        <v>257</v>
      </c>
      <c r="CQ11" s="17"/>
      <c r="CR11" s="139">
        <f>t_B3n4_AB10[[#This Row],[Offset]]-CS10</f>
        <v>12</v>
      </c>
      <c r="CS11" s="139">
        <f>INDEX(t_B3n4_Fixed[Offset],MATCH($A$63,t_B3n4[x],0),1)</f>
        <v>18</v>
      </c>
      <c r="CT11" s="139">
        <v>3</v>
      </c>
      <c r="CU11" s="139">
        <v>58</v>
      </c>
      <c r="CV11" s="286" t="s">
        <v>266</v>
      </c>
      <c r="CW11" s="17"/>
      <c r="CY11" s="17"/>
      <c r="CZ11" s="17"/>
      <c r="DA11" s="17"/>
      <c r="DB11" s="17"/>
      <c r="DD11" s="17"/>
      <c r="DE11" s="17"/>
      <c r="DF11" s="17"/>
      <c r="DG11" s="17"/>
      <c r="DH11" s="17"/>
      <c r="DJ11" s="17"/>
      <c r="DK11" s="17"/>
      <c r="DL11" s="17"/>
      <c r="DM11" s="17"/>
      <c r="DN11" s="17"/>
      <c r="DP11" s="17"/>
    </row>
    <row r="12" spans="1:120" x14ac:dyDescent="0.25">
      <c r="A12" s="139">
        <v>7</v>
      </c>
      <c r="B12" s="139">
        <f>ROUNDUP(t_B3n4_Fixed[[#This Row],[Row]]-$B$3,0)</f>
        <v>-33</v>
      </c>
      <c r="C12" s="12">
        <f>t_B3n4[[#This Row],[x]]-D11</f>
        <v>1</v>
      </c>
      <c r="D12" s="1">
        <v>7</v>
      </c>
      <c r="E12" s="51">
        <f>MOD(INT(t_B3n4[[#This Row],[x]]/$B$1^INT(RIGHT(t_B3n4[[#Headers],[b3]],1))),$B$1)</f>
        <v>0</v>
      </c>
      <c r="F12" s="50">
        <f>MOD(INT(t_B3n4[[#This Row],[x]]/$B$1^INT(RIGHT(t_B3n4[[#Headers],[b2]],1))),$B$1)</f>
        <v>0</v>
      </c>
      <c r="G12" s="50">
        <f>MOD(INT(t_B3n4[[#This Row],[x]]/$B$1^INT(RIGHT(t_B3n4[[#Headers],[b1]],1))),$B$1)</f>
        <v>2</v>
      </c>
      <c r="H12" s="51">
        <f>MOD(INT(t_B3n4[[#This Row],[x]]/$B$1^INT(RIGHT(t_B3n4[[#Headers],[b0]],1))),$B$1)</f>
        <v>1</v>
      </c>
      <c r="I12" s="16"/>
      <c r="J12" s="16"/>
      <c r="K12" s="113" t="s">
        <v>15</v>
      </c>
      <c r="L12" s="114">
        <f>SUM(L7:L11)</f>
        <v>13</v>
      </c>
      <c r="AS12" s="17"/>
      <c r="AT12" s="17"/>
      <c r="AU12" s="17"/>
      <c r="AX12" s="139">
        <f>t_B3n4_AB3[[#This Row],[Offset]]-AY11</f>
        <v>2</v>
      </c>
      <c r="AY12" s="139">
        <f>INDEX(t_B3n4_Fixed[Offset],MATCH($A$84,t_B3n4[x],0),1)</f>
        <v>39</v>
      </c>
      <c r="AZ12" s="139">
        <v>79</v>
      </c>
      <c r="BA12" s="273" t="s">
        <v>287</v>
      </c>
      <c r="BD12" s="139">
        <f>t_B3n4_AB4[[#This Row],[Offset]]-BE11</f>
        <v>4</v>
      </c>
      <c r="BE12" s="139">
        <f>INDEX(t_B3n4_Fixed[Offset],MATCH($A$83,t_B3n4[x],0),1)</f>
        <v>38</v>
      </c>
      <c r="BF12" s="139">
        <v>7</v>
      </c>
      <c r="BG12" s="139">
        <v>78</v>
      </c>
      <c r="BH12" s="275" t="s">
        <v>286</v>
      </c>
      <c r="BJ12" s="17"/>
      <c r="BK12" s="139">
        <f>t_B3n4_AB5[[#This Row],[Offset]]-BL11</f>
        <v>8</v>
      </c>
      <c r="BL12" s="139">
        <f>INDEX(t_B3n4_Fixed[Offset],MATCH($A$81,t_B3n4[x],0),1)</f>
        <v>36</v>
      </c>
      <c r="BM12" s="139">
        <v>76</v>
      </c>
      <c r="BN12" s="226" t="s">
        <v>284</v>
      </c>
      <c r="BP12" s="17"/>
      <c r="BQ12" s="139">
        <f>t_B3n4_AB6[[#This Row],[Offset]]-BR11</f>
        <v>10</v>
      </c>
      <c r="BR12" s="139">
        <f>INDEX(t_B3n4_Fixed[Offset],MATCH($A$80,t_B3n4[x],0),1)</f>
        <v>35</v>
      </c>
      <c r="BS12" s="139">
        <v>7</v>
      </c>
      <c r="BT12" s="139">
        <v>75</v>
      </c>
      <c r="BU12" s="278" t="s">
        <v>283</v>
      </c>
      <c r="BW12" s="17"/>
      <c r="BX12" s="139">
        <f>t_B3n4_AB7[[#This Row],[Offset]]-BY11</f>
        <v>10</v>
      </c>
      <c r="BY12" s="139">
        <f>INDEX(t_B3n4_Fixed[Offset],MATCH($A$78,t_B3n4[x],0),1)</f>
        <v>33</v>
      </c>
      <c r="BZ12" s="139">
        <v>7</v>
      </c>
      <c r="CA12" s="139">
        <v>73</v>
      </c>
      <c r="CB12" s="265" t="s">
        <v>281</v>
      </c>
      <c r="CD12" s="17"/>
      <c r="CE12" s="139">
        <f>t_B3n4_AB8[[#This Row],[Offset]]-CF11</f>
        <v>8</v>
      </c>
      <c r="CF12" s="139">
        <f>INDEX(t_B3n4_Fixed[Offset],MATCH($A$74,t_B3n4[x],0),1)</f>
        <v>29</v>
      </c>
      <c r="CG12" s="139">
        <v>7</v>
      </c>
      <c r="CH12" s="139">
        <v>69</v>
      </c>
      <c r="CI12" s="268" t="s">
        <v>277</v>
      </c>
      <c r="CK12" s="17"/>
      <c r="CL12" s="139">
        <f>t_B3n4_AB9[[#This Row],[Offset]]-CM11</f>
        <v>18</v>
      </c>
      <c r="CM12" s="139">
        <f>INDEX(t_B3n4_Fixed[Offset],MATCH($A$72,t_B3n4[x],0),1)</f>
        <v>27</v>
      </c>
      <c r="CN12" s="139">
        <v>67</v>
      </c>
      <c r="CO12" s="269" t="s">
        <v>275</v>
      </c>
      <c r="CQ12" s="17"/>
      <c r="CR12" s="139">
        <f>t_B3n4_AB10[[#This Row],[Offset]]-CS11</f>
        <v>8</v>
      </c>
      <c r="CS12" s="139">
        <f>INDEX(t_B3n4_Fixed[Offset],MATCH($A$71,t_B3n4[x],0),1)</f>
        <v>26</v>
      </c>
      <c r="CT12" s="139">
        <v>7</v>
      </c>
      <c r="CU12" s="139">
        <v>66</v>
      </c>
      <c r="CV12" s="270" t="s">
        <v>274</v>
      </c>
      <c r="CW12" s="17"/>
      <c r="CY12" s="17"/>
      <c r="CZ12" s="17"/>
      <c r="DA12" s="17"/>
      <c r="DB12" s="17"/>
      <c r="DD12" s="17"/>
      <c r="DE12" s="17"/>
      <c r="DF12" s="17"/>
      <c r="DG12" s="17"/>
      <c r="DH12" s="17"/>
      <c r="DJ12" s="17"/>
      <c r="DK12" s="17"/>
      <c r="DL12" s="17"/>
      <c r="DM12" s="17"/>
      <c r="DN12" s="17"/>
      <c r="DP12" s="17"/>
    </row>
    <row r="13" spans="1:120" ht="15.75" thickBot="1" x14ac:dyDescent="0.3">
      <c r="A13" s="139">
        <v>8</v>
      </c>
      <c r="B13" s="139">
        <f>ROUNDUP(t_B3n4_Fixed[[#This Row],[Row]]-$B$3,0)</f>
        <v>-32</v>
      </c>
      <c r="C13" s="12">
        <f>t_B3n4[[#This Row],[x]]-D12</f>
        <v>1</v>
      </c>
      <c r="D13" s="1">
        <v>8</v>
      </c>
      <c r="E13" s="84">
        <f>MOD(INT(t_B3n4[[#This Row],[x]]/$B$1^INT(RIGHT(t_B3n4[[#Headers],[b3]],1))),$B$1)</f>
        <v>0</v>
      </c>
      <c r="F13" s="83">
        <f>MOD(INT(t_B3n4[[#This Row],[x]]/$B$1^INT(RIGHT(t_B3n4[[#Headers],[b2]],1))),$B$1)</f>
        <v>0</v>
      </c>
      <c r="G13" s="83">
        <f>MOD(INT(t_B3n4[[#This Row],[x]]/$B$1^INT(RIGHT(t_B3n4[[#Headers],[b1]],1))),$B$1)</f>
        <v>2</v>
      </c>
      <c r="H13" s="84">
        <f>MOD(INT(t_B3n4[[#This Row],[x]]/$B$1^INT(RIGHT(t_B3n4[[#Headers],[b0]],1))),$B$1)</f>
        <v>2</v>
      </c>
      <c r="I13" s="16"/>
      <c r="J13" s="16"/>
      <c r="K13" s="115" t="s">
        <v>16</v>
      </c>
      <c r="L13" s="116">
        <v>23</v>
      </c>
      <c r="BD13" s="17"/>
      <c r="BE13" s="17"/>
      <c r="BF13" s="17"/>
      <c r="BH13" s="17"/>
      <c r="BJ13" s="17"/>
      <c r="BK13" s="17"/>
      <c r="BL13" s="17"/>
      <c r="BM13" s="17"/>
      <c r="BN13" s="17"/>
      <c r="BP13" s="17"/>
      <c r="BQ13" s="17"/>
      <c r="BR13" s="17"/>
      <c r="BS13" s="17"/>
      <c r="BU13" s="17"/>
      <c r="BW13" s="17"/>
      <c r="BX13" s="17"/>
      <c r="BY13" s="17"/>
      <c r="BZ13" s="17"/>
      <c r="CB13" s="139"/>
      <c r="CD13" s="17"/>
      <c r="CE13" s="17"/>
      <c r="CF13" s="17"/>
      <c r="CG13" s="17"/>
      <c r="CI13" s="139"/>
      <c r="CK13" s="17"/>
      <c r="CL13" s="17"/>
      <c r="CM13" s="17"/>
      <c r="CN13" s="17"/>
      <c r="CO13" s="17"/>
      <c r="CQ13" s="17"/>
      <c r="CR13" s="17"/>
      <c r="CS13" s="17"/>
      <c r="CT13" s="17"/>
      <c r="CV13" s="17"/>
      <c r="CW13" s="17"/>
      <c r="CY13" s="17"/>
      <c r="CZ13" s="17"/>
      <c r="DA13" s="17"/>
      <c r="DB13" s="17"/>
      <c r="DD13" s="17"/>
      <c r="DE13" s="17"/>
      <c r="DF13" s="17"/>
      <c r="DG13" s="17"/>
      <c r="DH13" s="17"/>
      <c r="DJ13" s="17"/>
      <c r="DK13" s="17"/>
      <c r="DL13" s="17"/>
      <c r="DM13" s="17"/>
      <c r="DN13" s="17"/>
      <c r="DP13" s="17"/>
    </row>
    <row r="14" spans="1:120" x14ac:dyDescent="0.25">
      <c r="A14" s="139">
        <v>9</v>
      </c>
      <c r="B14" s="139">
        <f>ROUNDUP(t_B3n4_Fixed[[#This Row],[Row]]-$B$3,0)</f>
        <v>-31</v>
      </c>
      <c r="C14" s="12">
        <f>t_B3n4[[#This Row],[x]]-D13</f>
        <v>1</v>
      </c>
      <c r="D14" s="1">
        <v>9</v>
      </c>
      <c r="E14" s="43">
        <f>MOD(INT(t_B3n4[[#This Row],[x]]/$B$1^INT(RIGHT(t_B3n4[[#Headers],[b3]],1))),$B$1)</f>
        <v>0</v>
      </c>
      <c r="F14" s="42">
        <f>MOD(INT(t_B3n4[[#This Row],[x]]/$B$1^INT(RIGHT(t_B3n4[[#Headers],[b2]],1))),$B$1)</f>
        <v>1</v>
      </c>
      <c r="G14" s="42">
        <f>MOD(INT(t_B3n4[[#This Row],[x]]/$B$1^INT(RIGHT(t_B3n4[[#Headers],[b1]],1))),$B$1)</f>
        <v>0</v>
      </c>
      <c r="H14" s="43">
        <f>MOD(INT(t_B3n4[[#This Row],[x]]/$B$1^INT(RIGHT(t_B3n4[[#Headers],[b0]],1))),$B$1)</f>
        <v>0</v>
      </c>
      <c r="I14" s="16"/>
      <c r="J14" s="16"/>
      <c r="L14" s="17"/>
    </row>
    <row r="15" spans="1:120" x14ac:dyDescent="0.25">
      <c r="A15" s="139">
        <v>10</v>
      </c>
      <c r="B15" s="139">
        <f>ROUNDUP(t_B3n4_Fixed[[#This Row],[Row]]-$B$3,0)</f>
        <v>-30</v>
      </c>
      <c r="C15" s="12">
        <f>t_B3n4[[#This Row],[x]]-D14</f>
        <v>1</v>
      </c>
      <c r="D15" s="1">
        <v>10</v>
      </c>
      <c r="E15" s="65">
        <f>MOD(INT(t_B3n4[[#This Row],[x]]/$B$1^INT(RIGHT(t_B3n4[[#Headers],[b3]],1))),$B$1)</f>
        <v>0</v>
      </c>
      <c r="F15" s="64">
        <f>MOD(INT(t_B3n4[[#This Row],[x]]/$B$1^INT(RIGHT(t_B3n4[[#Headers],[b2]],1))),$B$1)</f>
        <v>1</v>
      </c>
      <c r="G15" s="64">
        <f>MOD(INT(t_B3n4[[#This Row],[x]]/$B$1^INT(RIGHT(t_B3n4[[#Headers],[b1]],1))),$B$1)</f>
        <v>0</v>
      </c>
      <c r="H15" s="65">
        <f>MOD(INT(t_B3n4[[#This Row],[x]]/$B$1^INT(RIGHT(t_B3n4[[#Headers],[b0]],1))),$B$1)</f>
        <v>1</v>
      </c>
      <c r="I15" s="16"/>
      <c r="J15" s="16"/>
      <c r="L15" s="17"/>
    </row>
    <row r="16" spans="1:120" x14ac:dyDescent="0.25">
      <c r="A16" s="139">
        <v>11</v>
      </c>
      <c r="B16" s="139">
        <f>ROUNDUP(t_B3n4_Fixed[[#This Row],[Row]]-$B$3,0)</f>
        <v>-29</v>
      </c>
      <c r="C16" s="12">
        <f>t_B3n4[[#This Row],[x]]-D15</f>
        <v>1</v>
      </c>
      <c r="D16" s="1">
        <v>11</v>
      </c>
      <c r="E16" s="67">
        <f>MOD(INT(t_B3n4[[#This Row],[x]]/$B$1^INT(RIGHT(t_B3n4[[#Headers],[b3]],1))),$B$1)</f>
        <v>0</v>
      </c>
      <c r="F16" s="66">
        <f>MOD(INT(t_B3n4[[#This Row],[x]]/$B$1^INT(RIGHT(t_B3n4[[#Headers],[b2]],1))),$B$1)</f>
        <v>1</v>
      </c>
      <c r="G16" s="66">
        <f>MOD(INT(t_B3n4[[#This Row],[x]]/$B$1^INT(RIGHT(t_B3n4[[#Headers],[b1]],1))),$B$1)</f>
        <v>0</v>
      </c>
      <c r="H16" s="67">
        <f>MOD(INT(t_B3n4[[#This Row],[x]]/$B$1^INT(RIGHT(t_B3n4[[#Headers],[b0]],1))),$B$1)</f>
        <v>2</v>
      </c>
      <c r="I16" s="16"/>
      <c r="J16" s="16"/>
      <c r="L16" s="17"/>
      <c r="AS16" s="17"/>
      <c r="BE16" s="17"/>
      <c r="BL16" s="17"/>
      <c r="BR16" s="17"/>
      <c r="BY16" s="17"/>
      <c r="CF16" s="17"/>
      <c r="CM16" s="17"/>
      <c r="CS16" s="17"/>
      <c r="CZ16" s="17"/>
      <c r="DF16" s="17"/>
      <c r="DL16" s="17"/>
    </row>
    <row r="17" spans="1:123" x14ac:dyDescent="0.25">
      <c r="A17" s="139">
        <v>12</v>
      </c>
      <c r="B17" s="139">
        <f>ROUNDUP(t_B3n4_Fixed[[#This Row],[Row]]-$B$3,0)</f>
        <v>-28</v>
      </c>
      <c r="C17" s="12">
        <f>t_B3n4[[#This Row],[x]]-D16</f>
        <v>1</v>
      </c>
      <c r="D17" s="9">
        <v>12</v>
      </c>
      <c r="E17" s="86">
        <f>MOD(INT(t_B3n4[[#This Row],[x]]/$B$1^INT(RIGHT(t_B3n4[[#Headers],[b3]],1))),$B$1)</f>
        <v>0</v>
      </c>
      <c r="F17" s="85">
        <f>MOD(INT(t_B3n4[[#This Row],[x]]/$B$1^INT(RIGHT(t_B3n4[[#Headers],[b2]],1))),$B$1)</f>
        <v>1</v>
      </c>
      <c r="G17" s="85">
        <f>MOD(INT(t_B3n4[[#This Row],[x]]/$B$1^INT(RIGHT(t_B3n4[[#Headers],[b1]],1))),$B$1)</f>
        <v>1</v>
      </c>
      <c r="H17" s="86">
        <f>MOD(INT(t_B3n4[[#This Row],[x]]/$B$1^INT(RIGHT(t_B3n4[[#Headers],[b0]],1))),$B$1)</f>
        <v>0</v>
      </c>
      <c r="I17" s="138"/>
      <c r="J17" s="16"/>
      <c r="L17" s="17"/>
      <c r="AS17" s="17"/>
      <c r="AY17" s="17"/>
      <c r="BE17" s="17"/>
      <c r="BL17" s="17"/>
      <c r="BR17" s="17"/>
      <c r="BY17" s="17"/>
      <c r="CF17" s="17"/>
      <c r="CM17" s="17"/>
      <c r="CS17" s="17"/>
      <c r="CZ17" s="17"/>
      <c r="DF17" s="17"/>
      <c r="DL17" s="17"/>
    </row>
    <row r="18" spans="1:123" x14ac:dyDescent="0.25">
      <c r="A18" s="139">
        <v>13</v>
      </c>
      <c r="B18" s="139">
        <f>ROUNDUP(t_B3n4_Fixed[[#This Row],[Row]]-$B$3,0)</f>
        <v>-27</v>
      </c>
      <c r="C18" s="12">
        <f>t_B3n4[[#This Row],[x]]-D17</f>
        <v>1</v>
      </c>
      <c r="D18" s="138">
        <v>13</v>
      </c>
      <c r="E18" s="69">
        <f>MOD(INT(t_B3n4[[#This Row],[x]]/$B$1^INT(RIGHT(t_B3n4[[#Headers],[b3]],1))),$B$1)</f>
        <v>0</v>
      </c>
      <c r="F18" s="68">
        <f>MOD(INT(t_B3n4[[#This Row],[x]]/$B$1^INT(RIGHT(t_B3n4[[#Headers],[b2]],1))),$B$1)</f>
        <v>1</v>
      </c>
      <c r="G18" s="68">
        <f>MOD(INT(t_B3n4[[#This Row],[x]]/$B$1^INT(RIGHT(t_B3n4[[#Headers],[b1]],1))),$B$1)</f>
        <v>1</v>
      </c>
      <c r="H18" s="69">
        <f>MOD(INT(t_B3n4[[#This Row],[x]]/$B$1^INT(RIGHT(t_B3n4[[#Headers],[b0]],1))),$B$1)</f>
        <v>1</v>
      </c>
      <c r="I18" s="5"/>
      <c r="J18" s="16"/>
      <c r="L18" s="17"/>
      <c r="AS18" s="17"/>
      <c r="AY18" s="17"/>
      <c r="BE18" s="17"/>
      <c r="BL18" s="17"/>
      <c r="BR18" s="17"/>
      <c r="BY18" s="17"/>
      <c r="CF18" s="17"/>
      <c r="CM18" s="17"/>
      <c r="CS18" s="17"/>
      <c r="CZ18" s="17"/>
      <c r="DF18" s="17"/>
      <c r="DL18" s="17"/>
    </row>
    <row r="19" spans="1:123" x14ac:dyDescent="0.25">
      <c r="A19" s="139">
        <v>14</v>
      </c>
      <c r="B19" s="139">
        <f>ROUNDUP(t_B3n4_Fixed[[#This Row],[Row]]-$B$3,0)</f>
        <v>-26</v>
      </c>
      <c r="C19" s="12">
        <f>t_B3n4[[#This Row],[x]]-D18</f>
        <v>1</v>
      </c>
      <c r="D19" s="1">
        <v>14</v>
      </c>
      <c r="E19" s="186">
        <f>MOD(INT(t_B3n4[[#This Row],[x]]/$B$1^INT(RIGHT(t_B3n4[[#Headers],[b3]],1))),$B$1)</f>
        <v>0</v>
      </c>
      <c r="F19" s="187">
        <f>MOD(INT(t_B3n4[[#This Row],[x]]/$B$1^INT(RIGHT(t_B3n4[[#Headers],[b2]],1))),$B$1)</f>
        <v>1</v>
      </c>
      <c r="G19" s="187">
        <f>MOD(INT(t_B3n4[[#This Row],[x]]/$B$1^INT(RIGHT(t_B3n4[[#Headers],[b1]],1))),$B$1)</f>
        <v>1</v>
      </c>
      <c r="H19" s="186">
        <f>MOD(INT(t_B3n4[[#This Row],[x]]/$B$1^INT(RIGHT(t_B3n4[[#Headers],[b0]],1))),$B$1)</f>
        <v>2</v>
      </c>
      <c r="I19" s="16"/>
      <c r="J19" s="16"/>
      <c r="L19" s="17"/>
      <c r="AS19" s="17"/>
      <c r="AU19" s="17"/>
      <c r="AW19" s="17"/>
      <c r="AX19" s="17"/>
      <c r="AY19" s="17"/>
      <c r="AZ19" s="17"/>
      <c r="BA19" s="17"/>
      <c r="BC19" s="17"/>
      <c r="BD19" s="17"/>
      <c r="BE19" s="17"/>
      <c r="BF19" s="17"/>
      <c r="BH19" s="17"/>
      <c r="BJ19" s="17"/>
      <c r="BK19" s="17"/>
      <c r="BL19" s="17"/>
      <c r="BM19" s="17"/>
      <c r="BN19" s="17"/>
      <c r="BP19" s="17"/>
      <c r="BQ19" s="17"/>
      <c r="BR19" s="17"/>
      <c r="BS19" s="17"/>
      <c r="BU19" s="17"/>
      <c r="BW19" s="17"/>
      <c r="BX19" s="17"/>
      <c r="BY19" s="17"/>
      <c r="BZ19" s="17"/>
      <c r="CB19" s="17"/>
      <c r="CD19" s="17"/>
      <c r="CE19" s="17"/>
      <c r="CF19" s="17"/>
      <c r="CG19" s="17"/>
      <c r="CI19" s="17"/>
      <c r="CK19" s="17"/>
      <c r="CL19" s="17"/>
      <c r="CM19" s="17"/>
      <c r="CN19" s="17"/>
      <c r="CO19" s="17"/>
      <c r="CQ19" s="17"/>
      <c r="CR19" s="17"/>
      <c r="CS19" s="17"/>
      <c r="CT19" s="17"/>
      <c r="CV19" s="17"/>
      <c r="CW19" s="17"/>
      <c r="CY19" s="17"/>
      <c r="CZ19" s="17"/>
      <c r="DA19" s="17"/>
      <c r="DB19" s="17"/>
      <c r="DD19" s="17"/>
      <c r="DE19" s="17"/>
      <c r="DF19" s="17"/>
      <c r="DG19" s="17"/>
      <c r="DH19" s="17"/>
      <c r="DJ19" s="17"/>
      <c r="DK19" s="17"/>
      <c r="DL19" s="17"/>
      <c r="DM19" s="17"/>
      <c r="DN19" s="17"/>
      <c r="DP19" s="17"/>
      <c r="DQ19" s="17"/>
      <c r="DR19" s="17"/>
      <c r="DS19" s="17"/>
    </row>
    <row r="20" spans="1:123" x14ac:dyDescent="0.25">
      <c r="A20" s="139">
        <v>15</v>
      </c>
      <c r="B20" s="139">
        <f>ROUNDUP(t_B3n4_Fixed[[#This Row],[Row]]-$B$3,0)</f>
        <v>-25</v>
      </c>
      <c r="C20" s="12">
        <f>t_B3n4[[#This Row],[x]]-D19</f>
        <v>1</v>
      </c>
      <c r="D20" s="1">
        <v>15</v>
      </c>
      <c r="E20" s="88">
        <f>MOD(INT(t_B3n4[[#This Row],[x]]/$B$1^INT(RIGHT(t_B3n4[[#Headers],[b3]],1))),$B$1)</f>
        <v>0</v>
      </c>
      <c r="F20" s="87">
        <f>MOD(INT(t_B3n4[[#This Row],[x]]/$B$1^INT(RIGHT(t_B3n4[[#Headers],[b2]],1))),$B$1)</f>
        <v>1</v>
      </c>
      <c r="G20" s="87">
        <f>MOD(INT(t_B3n4[[#This Row],[x]]/$B$1^INT(RIGHT(t_B3n4[[#Headers],[b1]],1))),$B$1)</f>
        <v>2</v>
      </c>
      <c r="H20" s="88">
        <f>MOD(INT(t_B3n4[[#This Row],[x]]/$B$1^INT(RIGHT(t_B3n4[[#Headers],[b0]],1))),$B$1)</f>
        <v>0</v>
      </c>
      <c r="I20" s="16"/>
      <c r="J20" s="16"/>
      <c r="L20" s="17"/>
      <c r="AS20" s="17"/>
      <c r="AY20" s="17"/>
      <c r="BE20" s="17"/>
      <c r="BL20" s="17"/>
      <c r="BR20" s="17"/>
      <c r="BY20" s="17"/>
      <c r="CF20" s="17"/>
      <c r="CM20" s="17"/>
      <c r="CS20" s="17"/>
      <c r="CZ20" s="17"/>
      <c r="DF20" s="17"/>
      <c r="DL20" s="17"/>
      <c r="DQ20" s="17"/>
      <c r="DR20" s="17"/>
      <c r="DS20" s="17"/>
    </row>
    <row r="21" spans="1:123" x14ac:dyDescent="0.25">
      <c r="A21" s="139">
        <v>16</v>
      </c>
      <c r="B21" s="139">
        <f>ROUNDUP(t_B3n4_Fixed[[#This Row],[Row]]-$B$3,0)</f>
        <v>-24</v>
      </c>
      <c r="C21" s="12">
        <f>t_B3n4[[#This Row],[x]]-D20</f>
        <v>1</v>
      </c>
      <c r="D21" s="1">
        <v>16</v>
      </c>
      <c r="E21" s="78">
        <f>MOD(INT(t_B3n4[[#This Row],[x]]/$B$1^INT(RIGHT(t_B3n4[[#Headers],[b3]],1))),$B$1)</f>
        <v>0</v>
      </c>
      <c r="F21" s="77">
        <f>MOD(INT(t_B3n4[[#This Row],[x]]/$B$1^INT(RIGHT(t_B3n4[[#Headers],[b2]],1))),$B$1)</f>
        <v>1</v>
      </c>
      <c r="G21" s="77">
        <f>MOD(INT(t_B3n4[[#This Row],[x]]/$B$1^INT(RIGHT(t_B3n4[[#Headers],[b1]],1))),$B$1)</f>
        <v>2</v>
      </c>
      <c r="H21" s="78">
        <f>MOD(INT(t_B3n4[[#This Row],[x]]/$B$1^INT(RIGHT(t_B3n4[[#Headers],[b0]],1))),$B$1)</f>
        <v>1</v>
      </c>
      <c r="I21" s="16"/>
      <c r="J21" s="16"/>
      <c r="L21" s="17"/>
      <c r="AS21" s="17"/>
      <c r="AT21" s="17"/>
      <c r="AU21" s="17"/>
      <c r="AW21" s="17"/>
      <c r="AX21" s="17"/>
      <c r="AY21" s="17"/>
      <c r="AZ21" s="17"/>
      <c r="BA21" s="17"/>
      <c r="BC21" s="17"/>
      <c r="BD21" s="17"/>
      <c r="BE21" s="17"/>
      <c r="BF21" s="17"/>
      <c r="BH21" s="17"/>
      <c r="BJ21" s="17"/>
      <c r="BK21" s="17"/>
      <c r="BL21" s="17"/>
      <c r="BM21" s="17"/>
      <c r="BN21" s="17"/>
      <c r="BP21" s="17"/>
      <c r="BQ21" s="17"/>
      <c r="BR21" s="17"/>
      <c r="BS21" s="17"/>
      <c r="BU21" s="17"/>
      <c r="BW21" s="17"/>
      <c r="BX21" s="17"/>
      <c r="BY21" s="17"/>
      <c r="BZ21" s="17"/>
      <c r="CB21" s="17"/>
      <c r="CD21" s="17"/>
      <c r="CE21" s="17"/>
      <c r="CF21" s="17"/>
      <c r="CG21" s="17"/>
      <c r="CI21" s="17"/>
      <c r="CK21" s="17"/>
      <c r="CL21" s="17"/>
      <c r="CM21" s="17"/>
      <c r="CN21" s="17"/>
      <c r="CO21" s="17"/>
      <c r="CQ21" s="17"/>
      <c r="CR21" s="17"/>
      <c r="CS21" s="17"/>
      <c r="CT21" s="17"/>
      <c r="CV21" s="17"/>
      <c r="CW21" s="17"/>
      <c r="CY21" s="17"/>
      <c r="CZ21" s="17"/>
      <c r="DA21" s="17"/>
      <c r="DB21" s="17"/>
      <c r="DD21" s="17"/>
      <c r="DE21" s="17"/>
      <c r="DF21" s="17"/>
      <c r="DG21" s="17"/>
      <c r="DH21" s="17"/>
      <c r="DJ21" s="17"/>
      <c r="DK21" s="17"/>
      <c r="DL21" s="17"/>
      <c r="DM21" s="17"/>
      <c r="DN21" s="17"/>
      <c r="DP21" s="17"/>
      <c r="DQ21" s="17"/>
      <c r="DR21" s="17"/>
      <c r="DS21" s="17"/>
    </row>
    <row r="22" spans="1:123" x14ac:dyDescent="0.25">
      <c r="A22" s="139">
        <v>17</v>
      </c>
      <c r="B22" s="139">
        <f>ROUNDUP(t_B3n4_Fixed[[#This Row],[Row]]-$B$3,0)</f>
        <v>-23</v>
      </c>
      <c r="C22" s="12">
        <f>t_B3n4[[#This Row],[x]]-D21</f>
        <v>1</v>
      </c>
      <c r="D22" s="1">
        <v>17</v>
      </c>
      <c r="E22" s="63">
        <f>MOD(INT(t_B3n4[[#This Row],[x]]/$B$1^INT(RIGHT(t_B3n4[[#Headers],[b3]],1))),$B$1)</f>
        <v>0</v>
      </c>
      <c r="F22" s="62">
        <f>MOD(INT(t_B3n4[[#This Row],[x]]/$B$1^INT(RIGHT(t_B3n4[[#Headers],[b2]],1))),$B$1)</f>
        <v>1</v>
      </c>
      <c r="G22" s="62">
        <f>MOD(INT(t_B3n4[[#This Row],[x]]/$B$1^INT(RIGHT(t_B3n4[[#Headers],[b1]],1))),$B$1)</f>
        <v>2</v>
      </c>
      <c r="H22" s="63">
        <f>MOD(INT(t_B3n4[[#This Row],[x]]/$B$1^INT(RIGHT(t_B3n4[[#Headers],[b0]],1))),$B$1)</f>
        <v>2</v>
      </c>
      <c r="I22" s="16"/>
      <c r="J22" s="16"/>
      <c r="L22" s="17"/>
      <c r="AS22" s="17"/>
      <c r="AT22" s="17"/>
      <c r="AU22" s="17"/>
      <c r="AW22" s="17"/>
      <c r="AX22" s="17"/>
      <c r="AY22" s="17"/>
      <c r="AZ22" s="17"/>
      <c r="BA22" s="17"/>
      <c r="BC22" s="17"/>
      <c r="BD22" s="17"/>
      <c r="BE22" s="17"/>
      <c r="BF22" s="17"/>
      <c r="BH22" s="17"/>
      <c r="BJ22" s="17"/>
      <c r="BK22" s="17"/>
      <c r="BL22" s="17"/>
      <c r="BM22" s="17"/>
      <c r="BN22" s="17"/>
      <c r="BP22" s="17"/>
      <c r="BQ22" s="17"/>
      <c r="BR22" s="17"/>
      <c r="BS22" s="17"/>
      <c r="BU22" s="17"/>
      <c r="BW22" s="17"/>
      <c r="BX22" s="17"/>
      <c r="BY22" s="17"/>
      <c r="BZ22" s="17"/>
      <c r="CB22" s="17"/>
      <c r="CD22" s="17"/>
      <c r="CE22" s="17"/>
      <c r="CF22" s="17"/>
      <c r="CG22" s="17"/>
      <c r="CI22" s="17"/>
      <c r="CK22" s="17"/>
      <c r="CL22" s="17"/>
      <c r="CM22" s="17"/>
      <c r="CN22" s="17"/>
      <c r="CO22" s="17"/>
      <c r="CQ22" s="17"/>
      <c r="CR22" s="17"/>
      <c r="CS22" s="17"/>
      <c r="CT22" s="17"/>
      <c r="CV22" s="17"/>
      <c r="CW22" s="17"/>
      <c r="CY22" s="17"/>
      <c r="CZ22" s="17"/>
      <c r="DA22" s="17"/>
      <c r="DB22" s="17"/>
      <c r="DD22" s="17"/>
      <c r="DE22" s="17"/>
      <c r="DF22" s="17"/>
      <c r="DG22" s="17"/>
      <c r="DH22" s="17"/>
      <c r="DJ22" s="17"/>
      <c r="DK22" s="17"/>
      <c r="DL22" s="17"/>
      <c r="DM22" s="17"/>
      <c r="DN22" s="17"/>
      <c r="DP22" s="17"/>
      <c r="DQ22" s="17"/>
      <c r="DR22" s="17"/>
      <c r="DS22" s="17"/>
    </row>
    <row r="23" spans="1:123" x14ac:dyDescent="0.25">
      <c r="A23" s="139">
        <v>18</v>
      </c>
      <c r="B23" s="139">
        <f>ROUNDUP(t_B3n4_Fixed[[#This Row],[Row]]-$B$3,0)</f>
        <v>-22</v>
      </c>
      <c r="C23" s="12">
        <f>t_B3n4[[#This Row],[x]]-D22</f>
        <v>1</v>
      </c>
      <c r="D23" s="9">
        <v>18</v>
      </c>
      <c r="E23" s="45">
        <f>MOD(INT(t_B3n4[[#This Row],[x]]/$B$1^INT(RIGHT(t_B3n4[[#Headers],[b3]],1))),$B$1)</f>
        <v>0</v>
      </c>
      <c r="F23" s="44">
        <f>MOD(INT(t_B3n4[[#This Row],[x]]/$B$1^INT(RIGHT(t_B3n4[[#Headers],[b2]],1))),$B$1)</f>
        <v>2</v>
      </c>
      <c r="G23" s="44">
        <f>MOD(INT(t_B3n4[[#This Row],[x]]/$B$1^INT(RIGHT(t_B3n4[[#Headers],[b1]],1))),$B$1)</f>
        <v>0</v>
      </c>
      <c r="H23" s="45">
        <f>MOD(INT(t_B3n4[[#This Row],[x]]/$B$1^INT(RIGHT(t_B3n4[[#Headers],[b0]],1))),$B$1)</f>
        <v>0</v>
      </c>
      <c r="I23" s="16"/>
      <c r="J23" s="16"/>
      <c r="L23" s="17"/>
      <c r="AS23" s="17"/>
      <c r="AT23" s="17"/>
      <c r="AU23" s="17"/>
      <c r="AW23" s="17"/>
      <c r="AX23" s="17"/>
      <c r="AY23" s="17"/>
      <c r="AZ23" s="17"/>
      <c r="BA23" s="17"/>
      <c r="BC23" s="17"/>
      <c r="BD23" s="17"/>
      <c r="BE23" s="17"/>
      <c r="BF23" s="17"/>
      <c r="BH23" s="17"/>
      <c r="BJ23" s="17"/>
      <c r="BK23" s="17"/>
      <c r="BL23" s="17"/>
      <c r="BM23" s="17"/>
      <c r="BN23" s="17"/>
      <c r="BP23" s="17"/>
      <c r="BQ23" s="17"/>
      <c r="BR23" s="17"/>
      <c r="BS23" s="17"/>
      <c r="BU23" s="17"/>
      <c r="BW23" s="17"/>
      <c r="BX23" s="17"/>
      <c r="BY23" s="17"/>
      <c r="BZ23" s="17"/>
      <c r="CB23" s="17"/>
      <c r="CD23" s="17"/>
      <c r="CE23" s="17"/>
      <c r="CF23" s="17"/>
      <c r="CG23" s="17"/>
      <c r="CI23" s="17"/>
      <c r="CK23" s="17"/>
      <c r="CL23" s="17"/>
      <c r="CM23" s="17"/>
      <c r="CN23" s="17"/>
      <c r="CO23" s="17"/>
      <c r="CQ23" s="17"/>
      <c r="CR23" s="17"/>
      <c r="CS23" s="17"/>
      <c r="CT23" s="17"/>
      <c r="CV23" s="17"/>
      <c r="CW23" s="17"/>
      <c r="CY23" s="17"/>
      <c r="CZ23" s="17"/>
      <c r="DA23" s="17"/>
      <c r="DB23" s="17"/>
      <c r="DD23" s="17"/>
      <c r="DE23" s="17"/>
      <c r="DF23" s="17"/>
      <c r="DG23" s="17"/>
      <c r="DH23" s="17"/>
      <c r="DJ23" s="17"/>
      <c r="DK23" s="17"/>
      <c r="DL23" s="17"/>
      <c r="DM23" s="17"/>
      <c r="DN23" s="17"/>
      <c r="DP23" s="17"/>
      <c r="DQ23" s="17"/>
      <c r="DR23" s="17"/>
      <c r="DS23" s="17"/>
    </row>
    <row r="24" spans="1:123" x14ac:dyDescent="0.25">
      <c r="A24" s="139">
        <v>19</v>
      </c>
      <c r="B24" s="139">
        <f>ROUNDUP(t_B3n4_Fixed[[#This Row],[Row]]-$B$3,0)</f>
        <v>-21</v>
      </c>
      <c r="C24" s="12">
        <f>t_B3n4[[#This Row],[x]]-D23</f>
        <v>1</v>
      </c>
      <c r="D24" s="1">
        <v>19</v>
      </c>
      <c r="E24" s="67">
        <f>MOD(INT(t_B3n4[[#This Row],[x]]/$B$1^INT(RIGHT(t_B3n4[[#Headers],[b3]],1))),$B$1)</f>
        <v>0</v>
      </c>
      <c r="F24" s="66">
        <f>MOD(INT(t_B3n4[[#This Row],[x]]/$B$1^INT(RIGHT(t_B3n4[[#Headers],[b2]],1))),$B$1)</f>
        <v>2</v>
      </c>
      <c r="G24" s="66">
        <f>MOD(INT(t_B3n4[[#This Row],[x]]/$B$1^INT(RIGHT(t_B3n4[[#Headers],[b1]],1))),$B$1)</f>
        <v>0</v>
      </c>
      <c r="H24" s="67">
        <f>MOD(INT(t_B3n4[[#This Row],[x]]/$B$1^INT(RIGHT(t_B3n4[[#Headers],[b0]],1))),$B$1)</f>
        <v>1</v>
      </c>
      <c r="I24" s="16"/>
      <c r="J24" s="16"/>
      <c r="L24" s="17"/>
      <c r="AS24" s="17"/>
      <c r="AT24" s="17"/>
      <c r="AU24" s="17"/>
      <c r="AW24" s="17"/>
      <c r="AX24" s="17"/>
      <c r="AY24" s="17"/>
      <c r="AZ24" s="17"/>
      <c r="BA24" s="17"/>
      <c r="BC24" s="17"/>
      <c r="BD24" s="17"/>
      <c r="BE24" s="17"/>
      <c r="BF24" s="17"/>
      <c r="BH24" s="17"/>
      <c r="BJ24" s="17"/>
      <c r="BK24" s="17"/>
      <c r="BL24" s="17"/>
      <c r="BM24" s="17"/>
      <c r="BN24" s="17"/>
      <c r="BP24" s="17"/>
      <c r="BQ24" s="17"/>
      <c r="BR24" s="17"/>
      <c r="BS24" s="17"/>
      <c r="BU24" s="17"/>
      <c r="BW24" s="17"/>
      <c r="BX24" s="17"/>
      <c r="BY24" s="17"/>
      <c r="BZ24" s="17"/>
      <c r="CB24" s="17"/>
      <c r="CD24" s="17"/>
      <c r="CE24" s="17"/>
      <c r="CF24" s="17"/>
      <c r="CG24" s="17"/>
      <c r="CI24" s="17"/>
      <c r="CK24" s="17"/>
      <c r="CL24" s="17"/>
      <c r="CM24" s="17"/>
      <c r="CN24" s="17"/>
      <c r="CO24" s="17"/>
      <c r="CQ24" s="17"/>
      <c r="CR24" s="17"/>
      <c r="CS24" s="17"/>
      <c r="CT24" s="17"/>
      <c r="CV24" s="17"/>
      <c r="CW24" s="17"/>
      <c r="CY24" s="17"/>
      <c r="CZ24" s="17"/>
      <c r="DA24" s="17"/>
      <c r="DB24" s="17"/>
      <c r="DD24" s="17"/>
      <c r="DE24" s="17"/>
      <c r="DF24" s="17"/>
      <c r="DG24" s="17"/>
      <c r="DH24" s="17"/>
      <c r="DJ24" s="17"/>
      <c r="DK24" s="17"/>
      <c r="DL24" s="17"/>
      <c r="DM24" s="17"/>
      <c r="DN24" s="17"/>
      <c r="DP24" s="17"/>
      <c r="DQ24" s="17"/>
      <c r="DR24" s="17"/>
      <c r="DS24" s="17"/>
    </row>
    <row r="25" spans="1:123" x14ac:dyDescent="0.25">
      <c r="A25" s="139">
        <v>20</v>
      </c>
      <c r="B25" s="139">
        <f>ROUNDUP(t_B3n4_Fixed[[#This Row],[Row]]-$B$3,0)</f>
        <v>-20</v>
      </c>
      <c r="C25" s="12">
        <f>t_B3n4[[#This Row],[x]]-D24</f>
        <v>1</v>
      </c>
      <c r="D25" s="1">
        <v>20</v>
      </c>
      <c r="E25" s="80">
        <f>MOD(INT(t_B3n4[[#This Row],[x]]/$B$1^INT(RIGHT(t_B3n4[[#Headers],[b3]],1))),$B$1)</f>
        <v>0</v>
      </c>
      <c r="F25" s="79">
        <f>MOD(INT(t_B3n4[[#This Row],[x]]/$B$1^INT(RIGHT(t_B3n4[[#Headers],[b2]],1))),$B$1)</f>
        <v>2</v>
      </c>
      <c r="G25" s="79">
        <f>MOD(INT(t_B3n4[[#This Row],[x]]/$B$1^INT(RIGHT(t_B3n4[[#Headers],[b1]],1))),$B$1)</f>
        <v>0</v>
      </c>
      <c r="H25" s="80">
        <f>MOD(INT(t_B3n4[[#This Row],[x]]/$B$1^INT(RIGHT(t_B3n4[[#Headers],[b0]],1))),$B$1)</f>
        <v>2</v>
      </c>
      <c r="I25" s="16"/>
      <c r="J25" s="16"/>
      <c r="L25" s="17"/>
      <c r="AS25" s="17"/>
      <c r="AT25" s="17"/>
      <c r="AU25" s="17"/>
      <c r="AW25" s="17"/>
      <c r="AX25" s="17"/>
      <c r="AY25" s="17"/>
      <c r="AZ25" s="17"/>
      <c r="BA25" s="17"/>
      <c r="BC25" s="17"/>
      <c r="BD25" s="17"/>
      <c r="BE25" s="17"/>
      <c r="BF25" s="17"/>
      <c r="BH25" s="17"/>
      <c r="BJ25" s="17"/>
      <c r="BK25" s="17"/>
      <c r="BL25" s="17"/>
      <c r="BM25" s="17"/>
      <c r="BN25" s="17"/>
      <c r="BP25" s="17"/>
      <c r="BQ25" s="17"/>
      <c r="BR25" s="17"/>
      <c r="BS25" s="17"/>
      <c r="BU25" s="17"/>
      <c r="BW25" s="17"/>
      <c r="BX25" s="17"/>
      <c r="BY25" s="17"/>
      <c r="BZ25" s="17"/>
      <c r="CB25" s="17"/>
      <c r="CD25" s="17"/>
      <c r="CE25" s="17"/>
      <c r="CF25" s="17"/>
      <c r="CG25" s="17"/>
      <c r="CI25" s="17"/>
      <c r="CK25" s="17"/>
      <c r="CL25" s="17"/>
      <c r="CM25" s="17"/>
      <c r="CN25" s="17"/>
      <c r="CO25" s="17"/>
      <c r="CQ25" s="17"/>
      <c r="CR25" s="17"/>
      <c r="CS25" s="17"/>
      <c r="CT25" s="17"/>
      <c r="CV25" s="17"/>
      <c r="CW25" s="17"/>
      <c r="CY25" s="17"/>
      <c r="CZ25" s="17"/>
      <c r="DA25" s="17"/>
      <c r="DB25" s="17"/>
      <c r="DD25" s="17"/>
      <c r="DE25" s="17"/>
      <c r="DF25" s="17"/>
      <c r="DG25" s="17"/>
      <c r="DH25" s="17"/>
      <c r="DJ25" s="17"/>
      <c r="DK25" s="17"/>
      <c r="DL25" s="17"/>
      <c r="DM25" s="17"/>
      <c r="DN25" s="17"/>
      <c r="DP25" s="17"/>
      <c r="DQ25" s="17"/>
      <c r="DR25" s="17"/>
      <c r="DS25" s="17"/>
    </row>
    <row r="26" spans="1:123" x14ac:dyDescent="0.25">
      <c r="A26" s="139">
        <v>21</v>
      </c>
      <c r="B26" s="139">
        <f>ROUNDUP(t_B3n4_Fixed[[#This Row],[Row]]-$B$3,0)</f>
        <v>-19</v>
      </c>
      <c r="C26" s="12">
        <f>t_B3n4[[#This Row],[x]]-D25</f>
        <v>1</v>
      </c>
      <c r="D26" s="1">
        <v>21</v>
      </c>
      <c r="E26" s="51">
        <f>MOD(INT(t_B3n4[[#This Row],[x]]/$B$1^INT(RIGHT(t_B3n4[[#Headers],[b3]],1))),$B$1)</f>
        <v>0</v>
      </c>
      <c r="F26" s="50">
        <f>MOD(INT(t_B3n4[[#This Row],[x]]/$B$1^INT(RIGHT(t_B3n4[[#Headers],[b2]],1))),$B$1)</f>
        <v>2</v>
      </c>
      <c r="G26" s="50">
        <f>MOD(INT(t_B3n4[[#This Row],[x]]/$B$1^INT(RIGHT(t_B3n4[[#Headers],[b1]],1))),$B$1)</f>
        <v>1</v>
      </c>
      <c r="H26" s="51">
        <f>MOD(INT(t_B3n4[[#This Row],[x]]/$B$1^INT(RIGHT(t_B3n4[[#Headers],[b0]],1))),$B$1)</f>
        <v>0</v>
      </c>
      <c r="I26" s="16"/>
      <c r="J26" s="16"/>
      <c r="L26" s="17"/>
      <c r="AY26" s="17"/>
      <c r="DQ26" s="17"/>
      <c r="DR26" s="17"/>
      <c r="DS26" s="17"/>
    </row>
    <row r="27" spans="1:123" x14ac:dyDescent="0.25">
      <c r="A27" s="139">
        <v>22</v>
      </c>
      <c r="B27" s="139">
        <f>ROUNDUP(t_B3n4_Fixed[[#This Row],[Row]]-$B$3,0)</f>
        <v>-18</v>
      </c>
      <c r="C27" s="12">
        <f>t_B3n4[[#This Row],[x]]-D26</f>
        <v>1</v>
      </c>
      <c r="D27" s="1">
        <v>22</v>
      </c>
      <c r="E27" s="111">
        <f>MOD(INT(t_B3n4[[#This Row],[x]]/$B$1^INT(RIGHT(t_B3n4[[#Headers],[b3]],1))),$B$1)</f>
        <v>0</v>
      </c>
      <c r="F27" s="112">
        <f>MOD(INT(t_B3n4[[#This Row],[x]]/$B$1^INT(RIGHT(t_B3n4[[#Headers],[b2]],1))),$B$1)</f>
        <v>2</v>
      </c>
      <c r="G27" s="112">
        <f>MOD(INT(t_B3n4[[#This Row],[x]]/$B$1^INT(RIGHT(t_B3n4[[#Headers],[b1]],1))),$B$1)</f>
        <v>1</v>
      </c>
      <c r="H27" s="111">
        <f>MOD(INT(t_B3n4[[#This Row],[x]]/$B$1^INT(RIGHT(t_B3n4[[#Headers],[b0]],1))),$B$1)</f>
        <v>1</v>
      </c>
      <c r="I27" s="16"/>
      <c r="J27" s="16"/>
      <c r="L27" s="17"/>
    </row>
    <row r="28" spans="1:123" x14ac:dyDescent="0.25">
      <c r="A28" s="139">
        <v>23</v>
      </c>
      <c r="B28" s="139">
        <f>ROUNDUP(t_B3n4_Fixed[[#This Row],[Row]]-$B$3,0)</f>
        <v>-17</v>
      </c>
      <c r="C28" s="12">
        <f>t_B3n4[[#This Row],[x]]-D27</f>
        <v>1</v>
      </c>
      <c r="D28" s="9">
        <v>23</v>
      </c>
      <c r="E28" s="71">
        <f>MOD(INT(t_B3n4[[#This Row],[x]]/$B$1^INT(RIGHT(t_B3n4[[#Headers],[b3]],1))),$B$1)</f>
        <v>0</v>
      </c>
      <c r="F28" s="70">
        <f>MOD(INT(t_B3n4[[#This Row],[x]]/$B$1^INT(RIGHT(t_B3n4[[#Headers],[b2]],1))),$B$1)</f>
        <v>2</v>
      </c>
      <c r="G28" s="70">
        <f>MOD(INT(t_B3n4[[#This Row],[x]]/$B$1^INT(RIGHT(t_B3n4[[#Headers],[b1]],1))),$B$1)</f>
        <v>1</v>
      </c>
      <c r="H28" s="71">
        <f>MOD(INT(t_B3n4[[#This Row],[x]]/$B$1^INT(RIGHT(t_B3n4[[#Headers],[b0]],1))),$B$1)</f>
        <v>2</v>
      </c>
      <c r="I28" s="16"/>
      <c r="J28" s="16"/>
      <c r="L28" s="17"/>
    </row>
    <row r="29" spans="1:123" x14ac:dyDescent="0.25">
      <c r="A29" s="139">
        <v>24</v>
      </c>
      <c r="B29" s="139">
        <f>ROUNDUP(t_B3n4_Fixed[[#This Row],[Row]]-$B$3,0)</f>
        <v>-16</v>
      </c>
      <c r="C29" s="12">
        <f>t_B3n4[[#This Row],[x]]-D28</f>
        <v>1</v>
      </c>
      <c r="D29" s="1">
        <v>24</v>
      </c>
      <c r="E29" s="84">
        <f>MOD(INT(t_B3n4[[#This Row],[x]]/$B$1^INT(RIGHT(t_B3n4[[#Headers],[b3]],1))),$B$1)</f>
        <v>0</v>
      </c>
      <c r="F29" s="83">
        <f>MOD(INT(t_B3n4[[#This Row],[x]]/$B$1^INT(RIGHT(t_B3n4[[#Headers],[b2]],1))),$B$1)</f>
        <v>2</v>
      </c>
      <c r="G29" s="83">
        <f>MOD(INT(t_B3n4[[#This Row],[x]]/$B$1^INT(RIGHT(t_B3n4[[#Headers],[b1]],1))),$B$1)</f>
        <v>2</v>
      </c>
      <c r="H29" s="84">
        <f>MOD(INT(t_B3n4[[#This Row],[x]]/$B$1^INT(RIGHT(t_B3n4[[#Headers],[b0]],1))),$B$1)</f>
        <v>0</v>
      </c>
      <c r="I29" s="16"/>
      <c r="J29" s="16"/>
    </row>
    <row r="30" spans="1:123" x14ac:dyDescent="0.25">
      <c r="A30" s="139">
        <v>25</v>
      </c>
      <c r="B30" s="139">
        <f>ROUNDUP(t_B3n4_Fixed[[#This Row],[Row]]-$B$3,0)</f>
        <v>-15</v>
      </c>
      <c r="C30" s="12">
        <f>t_B3n4[[#This Row],[x]]-D29</f>
        <v>1</v>
      </c>
      <c r="D30" s="9">
        <v>25</v>
      </c>
      <c r="E30" s="61">
        <f>MOD(INT(t_B3n4[[#This Row],[x]]/$B$1^INT(RIGHT(t_B3n4[[#Headers],[b3]],1))),$B$1)</f>
        <v>0</v>
      </c>
      <c r="F30" s="60">
        <f>MOD(INT(t_B3n4[[#This Row],[x]]/$B$1^INT(RIGHT(t_B3n4[[#Headers],[b2]],1))),$B$1)</f>
        <v>2</v>
      </c>
      <c r="G30" s="60">
        <f>MOD(INT(t_B3n4[[#This Row],[x]]/$B$1^INT(RIGHT(t_B3n4[[#Headers],[b1]],1))),$B$1)</f>
        <v>2</v>
      </c>
      <c r="H30" s="61">
        <f>MOD(INT(t_B3n4[[#This Row],[x]]/$B$1^INT(RIGHT(t_B3n4[[#Headers],[b0]],1))),$B$1)</f>
        <v>1</v>
      </c>
      <c r="I30" s="16"/>
      <c r="J30" s="16"/>
    </row>
    <row r="31" spans="1:123" x14ac:dyDescent="0.25">
      <c r="A31" s="139">
        <v>26</v>
      </c>
      <c r="B31" s="139">
        <f>ROUNDUP(t_B3n4_Fixed[[#This Row],[Row]]-$B$3,0)</f>
        <v>-14</v>
      </c>
      <c r="C31" s="12">
        <f>t_B3n4[[#This Row],[x]]-D30</f>
        <v>1</v>
      </c>
      <c r="D31" s="1">
        <v>26</v>
      </c>
      <c r="E31" s="39">
        <f>MOD(INT(t_B3n4[[#This Row],[x]]/$B$1^INT(RIGHT(t_B3n4[[#Headers],[b3]],1))),$B$1)</f>
        <v>0</v>
      </c>
      <c r="F31" s="38">
        <f>MOD(INT(t_B3n4[[#This Row],[x]]/$B$1^INT(RIGHT(t_B3n4[[#Headers],[b2]],1))),$B$1)</f>
        <v>2</v>
      </c>
      <c r="G31" s="38">
        <f>MOD(INT(t_B3n4[[#This Row],[x]]/$B$1^INT(RIGHT(t_B3n4[[#Headers],[b1]],1))),$B$1)</f>
        <v>2</v>
      </c>
      <c r="H31" s="39">
        <f>MOD(INT(t_B3n4[[#This Row],[x]]/$B$1^INT(RIGHT(t_B3n4[[#Headers],[b0]],1))),$B$1)</f>
        <v>2</v>
      </c>
      <c r="I31" s="16"/>
      <c r="J31" s="16"/>
    </row>
    <row r="32" spans="1:123" x14ac:dyDescent="0.25">
      <c r="A32" s="139">
        <v>27</v>
      </c>
      <c r="B32" s="139">
        <f>ROUNDUP(t_B3n4_Fixed[[#This Row],[Row]]-$B$3,0)</f>
        <v>-13</v>
      </c>
      <c r="C32" s="12">
        <f>t_B3n4[[#This Row],[x]]-D31</f>
        <v>1</v>
      </c>
      <c r="D32" s="9">
        <v>27</v>
      </c>
      <c r="E32" s="43">
        <f>MOD(INT(t_B3n4[[#This Row],[x]]/$B$1^INT(RIGHT(t_B3n4[[#Headers],[b3]],1))),$B$1)</f>
        <v>1</v>
      </c>
      <c r="F32" s="42">
        <f>MOD(INT(t_B3n4[[#This Row],[x]]/$B$1^INT(RIGHT(t_B3n4[[#Headers],[b2]],1))),$B$1)</f>
        <v>0</v>
      </c>
      <c r="G32" s="42">
        <f>MOD(INT(t_B3n4[[#This Row],[x]]/$B$1^INT(RIGHT(t_B3n4[[#Headers],[b1]],1))),$B$1)</f>
        <v>0</v>
      </c>
      <c r="H32" s="43">
        <f>MOD(INT(t_B3n4[[#This Row],[x]]/$B$1^INT(RIGHT(t_B3n4[[#Headers],[b0]],1))),$B$1)</f>
        <v>0</v>
      </c>
      <c r="I32" s="16"/>
      <c r="J32" s="16"/>
    </row>
    <row r="33" spans="1:10" x14ac:dyDescent="0.25">
      <c r="A33" s="139">
        <v>28</v>
      </c>
      <c r="B33" s="139">
        <f>ROUNDUP(t_B3n4_Fixed[[#This Row],[Row]]-$B$3,0)</f>
        <v>-12</v>
      </c>
      <c r="C33" s="12">
        <f>t_B3n4[[#This Row],[x]]-D32</f>
        <v>1</v>
      </c>
      <c r="D33" s="1">
        <v>28</v>
      </c>
      <c r="E33" s="86">
        <f>MOD(INT(t_B3n4[[#This Row],[x]]/$B$1^INT(RIGHT(t_B3n4[[#Headers],[b3]],1))),$B$1)</f>
        <v>1</v>
      </c>
      <c r="F33" s="85">
        <f>MOD(INT(t_B3n4[[#This Row],[x]]/$B$1^INT(RIGHT(t_B3n4[[#Headers],[b2]],1))),$B$1)</f>
        <v>0</v>
      </c>
      <c r="G33" s="85">
        <f>MOD(INT(t_B3n4[[#This Row],[x]]/$B$1^INT(RIGHT(t_B3n4[[#Headers],[b1]],1))),$B$1)</f>
        <v>0</v>
      </c>
      <c r="H33" s="86">
        <f>MOD(INT(t_B3n4[[#This Row],[x]]/$B$1^INT(RIGHT(t_B3n4[[#Headers],[b0]],1))),$B$1)</f>
        <v>1</v>
      </c>
      <c r="I33" s="16"/>
      <c r="J33" s="16"/>
    </row>
    <row r="34" spans="1:10" x14ac:dyDescent="0.25">
      <c r="A34" s="139">
        <v>29</v>
      </c>
      <c r="B34" s="139">
        <f>ROUNDUP(t_B3n4_Fixed[[#This Row],[Row]]-$B$3,0)</f>
        <v>-11</v>
      </c>
      <c r="C34" s="12">
        <f>t_B3n4[[#This Row],[x]]-D33</f>
        <v>1</v>
      </c>
      <c r="D34" s="1">
        <v>29</v>
      </c>
      <c r="E34" s="51">
        <f>MOD(INT(t_B3n4[[#This Row],[x]]/$B$1^INT(RIGHT(t_B3n4[[#Headers],[b3]],1))),$B$1)</f>
        <v>1</v>
      </c>
      <c r="F34" s="50">
        <f>MOD(INT(t_B3n4[[#This Row],[x]]/$B$1^INT(RIGHT(t_B3n4[[#Headers],[b2]],1))),$B$1)</f>
        <v>0</v>
      </c>
      <c r="G34" s="50">
        <f>MOD(INT(t_B3n4[[#This Row],[x]]/$B$1^INT(RIGHT(t_B3n4[[#Headers],[b1]],1))),$B$1)</f>
        <v>0</v>
      </c>
      <c r="H34" s="51">
        <f>MOD(INT(t_B3n4[[#This Row],[x]]/$B$1^INT(RIGHT(t_B3n4[[#Headers],[b0]],1))),$B$1)</f>
        <v>2</v>
      </c>
      <c r="I34" s="16"/>
      <c r="J34" s="16"/>
    </row>
    <row r="35" spans="1:10" x14ac:dyDescent="0.25">
      <c r="A35" s="139">
        <v>30</v>
      </c>
      <c r="B35" s="139">
        <f>ROUNDUP(t_B3n4_Fixed[[#This Row],[Row]]-$B$3,0)</f>
        <v>-10</v>
      </c>
      <c r="C35" s="12">
        <f>t_B3n4[[#This Row],[x]]-D34</f>
        <v>1</v>
      </c>
      <c r="D35" s="1">
        <v>30</v>
      </c>
      <c r="E35" s="65">
        <f>MOD(INT(t_B3n4[[#This Row],[x]]/$B$1^INT(RIGHT(t_B3n4[[#Headers],[b3]],1))),$B$1)</f>
        <v>1</v>
      </c>
      <c r="F35" s="64">
        <f>MOD(INT(t_B3n4[[#This Row],[x]]/$B$1^INT(RIGHT(t_B3n4[[#Headers],[b2]],1))),$B$1)</f>
        <v>0</v>
      </c>
      <c r="G35" s="64">
        <f>MOD(INT(t_B3n4[[#This Row],[x]]/$B$1^INT(RIGHT(t_B3n4[[#Headers],[b1]],1))),$B$1)</f>
        <v>1</v>
      </c>
      <c r="H35" s="65">
        <f>MOD(INT(t_B3n4[[#This Row],[x]]/$B$1^INT(RIGHT(t_B3n4[[#Headers],[b0]],1))),$B$1)</f>
        <v>0</v>
      </c>
      <c r="I35" s="16"/>
      <c r="J35" s="16"/>
    </row>
    <row r="36" spans="1:10" x14ac:dyDescent="0.25">
      <c r="A36" s="139">
        <v>31</v>
      </c>
      <c r="B36" s="139">
        <f>ROUNDUP(t_B3n4_Fixed[[#This Row],[Row]]-$B$3,0)</f>
        <v>-9</v>
      </c>
      <c r="C36" s="12">
        <f>t_B3n4[[#This Row],[x]]-D35</f>
        <v>1</v>
      </c>
      <c r="D36" s="139">
        <v>31</v>
      </c>
      <c r="E36" s="69">
        <f>MOD(INT(t_B3n4[[#This Row],[x]]/$B$1^INT(RIGHT(t_B3n4[[#Headers],[b3]],1))),$B$1)</f>
        <v>1</v>
      </c>
      <c r="F36" s="68">
        <f>MOD(INT(t_B3n4[[#This Row],[x]]/$B$1^INT(RIGHT(t_B3n4[[#Headers],[b2]],1))),$B$1)</f>
        <v>0</v>
      </c>
      <c r="G36" s="68">
        <f>MOD(INT(t_B3n4[[#This Row],[x]]/$B$1^INT(RIGHT(t_B3n4[[#Headers],[b1]],1))),$B$1)</f>
        <v>1</v>
      </c>
      <c r="H36" s="69">
        <f>MOD(INT(t_B3n4[[#This Row],[x]]/$B$1^INT(RIGHT(t_B3n4[[#Headers],[b0]],1))),$B$1)</f>
        <v>1</v>
      </c>
      <c r="I36" s="16"/>
      <c r="J36" s="16"/>
    </row>
    <row r="37" spans="1:10" x14ac:dyDescent="0.25">
      <c r="A37" s="139">
        <v>32</v>
      </c>
      <c r="B37" s="139">
        <f>ROUNDUP(t_B3n4_Fixed[[#This Row],[Row]]-$B$3,0)</f>
        <v>-8</v>
      </c>
      <c r="C37" s="12">
        <f>t_B3n4[[#This Row],[x]]-D36</f>
        <v>1</v>
      </c>
      <c r="D37" s="1">
        <v>32</v>
      </c>
      <c r="E37" s="78">
        <f>MOD(INT(t_B3n4[[#This Row],[x]]/$B$1^INT(RIGHT(t_B3n4[[#Headers],[b3]],1))),$B$1)</f>
        <v>1</v>
      </c>
      <c r="F37" s="77">
        <f>MOD(INT(t_B3n4[[#This Row],[x]]/$B$1^INT(RIGHT(t_B3n4[[#Headers],[b2]],1))),$B$1)</f>
        <v>0</v>
      </c>
      <c r="G37" s="77">
        <f>MOD(INT(t_B3n4[[#This Row],[x]]/$B$1^INT(RIGHT(t_B3n4[[#Headers],[b1]],1))),$B$1)</f>
        <v>1</v>
      </c>
      <c r="H37" s="78">
        <f>MOD(INT(t_B3n4[[#This Row],[x]]/$B$1^INT(RIGHT(t_B3n4[[#Headers],[b0]],1))),$B$1)</f>
        <v>2</v>
      </c>
      <c r="I37" s="16"/>
      <c r="J37" s="16"/>
    </row>
    <row r="38" spans="1:10" x14ac:dyDescent="0.25">
      <c r="A38" s="139">
        <v>33</v>
      </c>
      <c r="B38" s="139">
        <f>ROUNDUP(t_B3n4_Fixed[[#This Row],[Row]]-$B$3,0)</f>
        <v>-7</v>
      </c>
      <c r="C38" s="12">
        <f>t_B3n4[[#This Row],[x]]-D37</f>
        <v>1</v>
      </c>
      <c r="D38" s="1">
        <v>33</v>
      </c>
      <c r="E38" s="67">
        <f>MOD(INT(t_B3n4[[#This Row],[x]]/$B$1^INT(RIGHT(t_B3n4[[#Headers],[b3]],1))),$B$1)</f>
        <v>1</v>
      </c>
      <c r="F38" s="66">
        <f>MOD(INT(t_B3n4[[#This Row],[x]]/$B$1^INT(RIGHT(t_B3n4[[#Headers],[b2]],1))),$B$1)</f>
        <v>0</v>
      </c>
      <c r="G38" s="66">
        <f>MOD(INT(t_B3n4[[#This Row],[x]]/$B$1^INT(RIGHT(t_B3n4[[#Headers],[b1]],1))),$B$1)</f>
        <v>2</v>
      </c>
      <c r="H38" s="67">
        <f>MOD(INT(t_B3n4[[#This Row],[x]]/$B$1^INT(RIGHT(t_B3n4[[#Headers],[b0]],1))),$B$1)</f>
        <v>0</v>
      </c>
      <c r="I38" s="16"/>
      <c r="J38" s="16"/>
    </row>
    <row r="39" spans="1:10" x14ac:dyDescent="0.25">
      <c r="A39" s="139">
        <v>34</v>
      </c>
      <c r="B39" s="139">
        <f>ROUNDUP(t_B3n4_Fixed[[#This Row],[Row]]-$B$3,0)</f>
        <v>-6</v>
      </c>
      <c r="C39" s="12">
        <f>t_B3n4[[#This Row],[x]]-D38</f>
        <v>1</v>
      </c>
      <c r="D39" s="1">
        <v>34</v>
      </c>
      <c r="E39" s="111">
        <f>MOD(INT(t_B3n4[[#This Row],[x]]/$B$1^INT(RIGHT(t_B3n4[[#Headers],[b3]],1))),$B$1)</f>
        <v>1</v>
      </c>
      <c r="F39" s="112">
        <f>MOD(INT(t_B3n4[[#This Row],[x]]/$B$1^INT(RIGHT(t_B3n4[[#Headers],[b2]],1))),$B$1)</f>
        <v>0</v>
      </c>
      <c r="G39" s="112">
        <f>MOD(INT(t_B3n4[[#This Row],[x]]/$B$1^INT(RIGHT(t_B3n4[[#Headers],[b1]],1))),$B$1)</f>
        <v>2</v>
      </c>
      <c r="H39" s="111">
        <f>MOD(INT(t_B3n4[[#This Row],[x]]/$B$1^INT(RIGHT(t_B3n4[[#Headers],[b0]],1))),$B$1)</f>
        <v>1</v>
      </c>
      <c r="I39" s="16"/>
      <c r="J39" s="16"/>
    </row>
    <row r="40" spans="1:10" x14ac:dyDescent="0.25">
      <c r="A40" s="139">
        <v>35</v>
      </c>
      <c r="B40" s="139">
        <f>ROUNDUP(t_B3n4_Fixed[[#This Row],[Row]]-$B$3,0)</f>
        <v>-5</v>
      </c>
      <c r="C40" s="12">
        <f>t_B3n4[[#This Row],[x]]-D39</f>
        <v>1</v>
      </c>
      <c r="D40" s="1">
        <v>35</v>
      </c>
      <c r="E40" s="61">
        <f>MOD(INT(t_B3n4[[#This Row],[x]]/$B$1^INT(RIGHT(t_B3n4[[#Headers],[b3]],1))),$B$1)</f>
        <v>1</v>
      </c>
      <c r="F40" s="60">
        <f>MOD(INT(t_B3n4[[#This Row],[x]]/$B$1^INT(RIGHT(t_B3n4[[#Headers],[b2]],1))),$B$1)</f>
        <v>0</v>
      </c>
      <c r="G40" s="60">
        <f>MOD(INT(t_B3n4[[#This Row],[x]]/$B$1^INT(RIGHT(t_B3n4[[#Headers],[b1]],1))),$B$1)</f>
        <v>2</v>
      </c>
      <c r="H40" s="61">
        <f>MOD(INT(t_B3n4[[#This Row],[x]]/$B$1^INT(RIGHT(t_B3n4[[#Headers],[b0]],1))),$B$1)</f>
        <v>2</v>
      </c>
      <c r="I40" s="16"/>
      <c r="J40" s="16"/>
    </row>
    <row r="41" spans="1:10" x14ac:dyDescent="0.25">
      <c r="A41" s="139">
        <v>36</v>
      </c>
      <c r="B41" s="139">
        <f>ROUNDUP(t_B3n4_Fixed[[#This Row],[Row]]-$B$3,0)</f>
        <v>-4</v>
      </c>
      <c r="C41" s="12">
        <f>t_B3n4[[#This Row],[x]]-D40</f>
        <v>1</v>
      </c>
      <c r="D41" s="1">
        <v>36</v>
      </c>
      <c r="E41" s="86">
        <f>MOD(INT(t_B3n4[[#This Row],[x]]/$B$1^INT(RIGHT(t_B3n4[[#Headers],[b3]],1))),$B$1)</f>
        <v>1</v>
      </c>
      <c r="F41" s="85">
        <f>MOD(INT(t_B3n4[[#This Row],[x]]/$B$1^INT(RIGHT(t_B3n4[[#Headers],[b2]],1))),$B$1)</f>
        <v>1</v>
      </c>
      <c r="G41" s="85">
        <f>MOD(INT(t_B3n4[[#This Row],[x]]/$B$1^INT(RIGHT(t_B3n4[[#Headers],[b1]],1))),$B$1)</f>
        <v>0</v>
      </c>
      <c r="H41" s="86">
        <f>MOD(INT(t_B3n4[[#This Row],[x]]/$B$1^INT(RIGHT(t_B3n4[[#Headers],[b0]],1))),$B$1)</f>
        <v>0</v>
      </c>
      <c r="I41" s="16"/>
      <c r="J41" s="16"/>
    </row>
    <row r="42" spans="1:10" x14ac:dyDescent="0.25">
      <c r="A42" s="139">
        <v>37</v>
      </c>
      <c r="B42" s="139">
        <f>ROUNDUP(t_B3n4_Fixed[[#This Row],[Row]]-$B$3,0)</f>
        <v>-3</v>
      </c>
      <c r="C42" s="12">
        <f>t_B3n4[[#This Row],[x]]-D41</f>
        <v>1</v>
      </c>
      <c r="D42" s="139">
        <v>37</v>
      </c>
      <c r="E42" s="69">
        <f>MOD(INT(t_B3n4[[#This Row],[x]]/$B$1^INT(RIGHT(t_B3n4[[#Headers],[b3]],1))),$B$1)</f>
        <v>1</v>
      </c>
      <c r="F42" s="68">
        <f>MOD(INT(t_B3n4[[#This Row],[x]]/$B$1^INT(RIGHT(t_B3n4[[#Headers],[b2]],1))),$B$1)</f>
        <v>1</v>
      </c>
      <c r="G42" s="68">
        <f>MOD(INT(t_B3n4[[#This Row],[x]]/$B$1^INT(RIGHT(t_B3n4[[#Headers],[b1]],1))),$B$1)</f>
        <v>0</v>
      </c>
      <c r="H42" s="69">
        <f>MOD(INT(t_B3n4[[#This Row],[x]]/$B$1^INT(RIGHT(t_B3n4[[#Headers],[b0]],1))),$B$1)</f>
        <v>1</v>
      </c>
      <c r="I42" s="16"/>
      <c r="J42" s="16"/>
    </row>
    <row r="43" spans="1:10" x14ac:dyDescent="0.25">
      <c r="A43" s="139">
        <v>38</v>
      </c>
      <c r="B43" s="139">
        <f>ROUNDUP(t_B3n4_Fixed[[#This Row],[Row]]-$B$3,0)</f>
        <v>-2</v>
      </c>
      <c r="C43" s="12">
        <f>t_B3n4[[#This Row],[x]]-D42</f>
        <v>1</v>
      </c>
      <c r="D43" s="1">
        <v>38</v>
      </c>
      <c r="E43" s="111">
        <f>MOD(INT(t_B3n4[[#This Row],[x]]/$B$1^INT(RIGHT(t_B3n4[[#Headers],[b3]],1))),$B$1)</f>
        <v>1</v>
      </c>
      <c r="F43" s="112">
        <f>MOD(INT(t_B3n4[[#This Row],[x]]/$B$1^INT(RIGHT(t_B3n4[[#Headers],[b2]],1))),$B$1)</f>
        <v>1</v>
      </c>
      <c r="G43" s="112">
        <f>MOD(INT(t_B3n4[[#This Row],[x]]/$B$1^INT(RIGHT(t_B3n4[[#Headers],[b1]],1))),$B$1)</f>
        <v>0</v>
      </c>
      <c r="H43" s="111">
        <f>MOD(INT(t_B3n4[[#This Row],[x]]/$B$1^INT(RIGHT(t_B3n4[[#Headers],[b0]],1))),$B$1)</f>
        <v>2</v>
      </c>
      <c r="I43" s="16"/>
      <c r="J43" s="16"/>
    </row>
    <row r="44" spans="1:10" x14ac:dyDescent="0.25">
      <c r="A44" s="12">
        <v>39</v>
      </c>
      <c r="B44" s="12">
        <f>ROUNDUP(t_B3n4_Fixed[[#This Row],[Row]]-$B$3,0)</f>
        <v>-1</v>
      </c>
      <c r="C44" s="12">
        <f>t_B3n4[[#This Row],[x]]-D43</f>
        <v>1</v>
      </c>
      <c r="D44" s="139">
        <v>39</v>
      </c>
      <c r="E44" s="69">
        <f>MOD(INT(t_B3n4[[#This Row],[x]]/$B$1^INT(RIGHT(t_B3n4[[#Headers],[b3]],1))),$B$1)</f>
        <v>1</v>
      </c>
      <c r="F44" s="68">
        <f>MOD(INT(t_B3n4[[#This Row],[x]]/$B$1^INT(RIGHT(t_B3n4[[#Headers],[b2]],1))),$B$1)</f>
        <v>1</v>
      </c>
      <c r="G44" s="68">
        <f>MOD(INT(t_B3n4[[#This Row],[x]]/$B$1^INT(RIGHT(t_B3n4[[#Headers],[b1]],1))),$B$1)</f>
        <v>1</v>
      </c>
      <c r="H44" s="69">
        <f>MOD(INT(t_B3n4[[#This Row],[x]]/$B$1^INT(RIGHT(t_B3n4[[#Headers],[b0]],1))),$B$1)</f>
        <v>0</v>
      </c>
      <c r="I44" s="16"/>
      <c r="J44" s="16"/>
    </row>
    <row r="45" spans="1:10" ht="15.75" thickBot="1" x14ac:dyDescent="0.3">
      <c r="A45" s="22">
        <v>40</v>
      </c>
      <c r="B45" s="22">
        <f>ROUNDUP(t_B3n4_Fixed[[#This Row],[Row]]-$B$3,0)</f>
        <v>0</v>
      </c>
      <c r="C45" s="23">
        <f>t_B3n4[[#This Row],[x]]-D44</f>
        <v>1</v>
      </c>
      <c r="D45" s="22">
        <v>40</v>
      </c>
      <c r="E45" s="22">
        <f>MOD(INT(t_B3n4[[#This Row],[x]]/$B$1^INT(RIGHT(t_B3n4[[#Headers],[b3]],1))),$B$1)</f>
        <v>1</v>
      </c>
      <c r="F45" s="22">
        <f>MOD(INT(t_B3n4[[#This Row],[x]]/$B$1^INT(RIGHT(t_B3n4[[#Headers],[b2]],1))),$B$1)</f>
        <v>1</v>
      </c>
      <c r="G45" s="23">
        <f>MOD(INT(t_B3n4[[#This Row],[x]]/$B$1^INT(RIGHT(t_B3n4[[#Headers],[b1]],1))),$B$1)</f>
        <v>1</v>
      </c>
      <c r="H45" s="23">
        <f>MOD(INT(t_B3n4[[#This Row],[x]]/$B$1^INT(RIGHT(t_B3n4[[#Headers],[b0]],1))),$B$1)</f>
        <v>1</v>
      </c>
      <c r="I45" s="28" t="s">
        <v>0</v>
      </c>
      <c r="J45" s="16"/>
    </row>
    <row r="46" spans="1:10" x14ac:dyDescent="0.25">
      <c r="A46" s="139">
        <v>41</v>
      </c>
      <c r="B46" s="139">
        <f>ROUNDUP(t_B3n4_Fixed[[#This Row],[Row]]-$B$3,0)</f>
        <v>1</v>
      </c>
      <c r="C46" s="12">
        <f>t_B3n4[[#This Row],[x]]-D45</f>
        <v>1</v>
      </c>
      <c r="D46" s="1">
        <v>41</v>
      </c>
      <c r="E46" s="47">
        <f>MOD(INT(t_B3n4[[#This Row],[x]]/$B$1^INT(RIGHT(t_B3n4[[#Headers],[b3]],1))),$B$1)</f>
        <v>1</v>
      </c>
      <c r="F46" s="46">
        <f>MOD(INT(t_B3n4[[#This Row],[x]]/$B$1^INT(RIGHT(t_B3n4[[#Headers],[b2]],1))),$B$1)</f>
        <v>1</v>
      </c>
      <c r="G46" s="46">
        <f>MOD(INT(t_B3n4[[#This Row],[x]]/$B$1^INT(RIGHT(t_B3n4[[#Headers],[b1]],1))),$B$1)</f>
        <v>1</v>
      </c>
      <c r="H46" s="47">
        <f>MOD(INT(t_B3n4[[#This Row],[x]]/$B$1^INT(RIGHT(t_B3n4[[#Headers],[b0]],1))),$B$1)</f>
        <v>2</v>
      </c>
      <c r="I46" s="16"/>
      <c r="J46" s="16"/>
    </row>
    <row r="47" spans="1:10" x14ac:dyDescent="0.25">
      <c r="A47" s="139">
        <v>42</v>
      </c>
      <c r="B47" s="139">
        <f>ROUNDUP(t_B3n4_Fixed[[#This Row],[Row]]-$B$3,0)</f>
        <v>2</v>
      </c>
      <c r="C47" s="12">
        <f>t_B3n4[[#This Row],[x]]-D46</f>
        <v>1</v>
      </c>
      <c r="D47" s="1">
        <v>42</v>
      </c>
      <c r="E47" s="186">
        <f>MOD(INT(t_B3n4[[#This Row],[x]]/$B$1^INT(RIGHT(t_B3n4[[#Headers],[b3]],1))),$B$1)</f>
        <v>1</v>
      </c>
      <c r="F47" s="187">
        <f>MOD(INT(t_B3n4[[#This Row],[x]]/$B$1^INT(RIGHT(t_B3n4[[#Headers],[b2]],1))),$B$1)</f>
        <v>1</v>
      </c>
      <c r="G47" s="187">
        <f>MOD(INT(t_B3n4[[#This Row],[x]]/$B$1^INT(RIGHT(t_B3n4[[#Headers],[b1]],1))),$B$1)</f>
        <v>2</v>
      </c>
      <c r="H47" s="186">
        <f>MOD(INT(t_B3n4[[#This Row],[x]]/$B$1^INT(RIGHT(t_B3n4[[#Headers],[b0]],1))),$B$1)</f>
        <v>0</v>
      </c>
      <c r="I47" s="16"/>
      <c r="J47" s="16"/>
    </row>
    <row r="48" spans="1:10" x14ac:dyDescent="0.25">
      <c r="A48" s="139">
        <v>43</v>
      </c>
      <c r="B48" s="139">
        <f>ROUNDUP(t_B3n4_Fixed[[#This Row],[Row]]-$B$3,0)</f>
        <v>3</v>
      </c>
      <c r="C48" s="12">
        <f>t_B3n4[[#This Row],[x]]-D47</f>
        <v>1</v>
      </c>
      <c r="D48" s="9">
        <v>43</v>
      </c>
      <c r="E48" s="47">
        <f>MOD(INT(t_B3n4[[#This Row],[x]]/$B$1^INT(RIGHT(t_B3n4[[#Headers],[b3]],1))),$B$1)</f>
        <v>1</v>
      </c>
      <c r="F48" s="46">
        <f>MOD(INT(t_B3n4[[#This Row],[x]]/$B$1^INT(RIGHT(t_B3n4[[#Headers],[b2]],1))),$B$1)</f>
        <v>1</v>
      </c>
      <c r="G48" s="46">
        <f>MOD(INT(t_B3n4[[#This Row],[x]]/$B$1^INT(RIGHT(t_B3n4[[#Headers],[b1]],1))),$B$1)</f>
        <v>2</v>
      </c>
      <c r="H48" s="47">
        <f>MOD(INT(t_B3n4[[#This Row],[x]]/$B$1^INT(RIGHT(t_B3n4[[#Headers],[b0]],1))),$B$1)</f>
        <v>1</v>
      </c>
      <c r="I48" s="16"/>
      <c r="J48" s="16"/>
    </row>
    <row r="49" spans="1:10" x14ac:dyDescent="0.25">
      <c r="A49" s="139">
        <v>44</v>
      </c>
      <c r="B49" s="139">
        <f>ROUNDUP(t_B3n4_Fixed[[#This Row],[Row]]-$B$3,0)</f>
        <v>4</v>
      </c>
      <c r="C49" s="12">
        <f>t_B3n4[[#This Row],[x]]-D48</f>
        <v>1</v>
      </c>
      <c r="D49" s="1">
        <v>44</v>
      </c>
      <c r="E49" s="184">
        <f>MOD(INT(t_B3n4[[#This Row],[x]]/$B$1^INT(RIGHT(t_B3n4[[#Headers],[b3]],1))),$B$1)</f>
        <v>1</v>
      </c>
      <c r="F49" s="185">
        <f>MOD(INT(t_B3n4[[#This Row],[x]]/$B$1^INT(RIGHT(t_B3n4[[#Headers],[b2]],1))),$B$1)</f>
        <v>1</v>
      </c>
      <c r="G49" s="185">
        <f>MOD(INT(t_B3n4[[#This Row],[x]]/$B$1^INT(RIGHT(t_B3n4[[#Headers],[b1]],1))),$B$1)</f>
        <v>2</v>
      </c>
      <c r="H49" s="184">
        <f>MOD(INT(t_B3n4[[#This Row],[x]]/$B$1^INT(RIGHT(t_B3n4[[#Headers],[b0]],1))),$B$1)</f>
        <v>2</v>
      </c>
      <c r="I49" s="16"/>
      <c r="J49" s="16"/>
    </row>
    <row r="50" spans="1:10" x14ac:dyDescent="0.25">
      <c r="A50" s="139">
        <v>45</v>
      </c>
      <c r="B50" s="139">
        <f>ROUNDUP(t_B3n4_Fixed[[#This Row],[Row]]-$B$3,0)</f>
        <v>5</v>
      </c>
      <c r="C50" s="12">
        <f>t_B3n4[[#This Row],[x]]-D49</f>
        <v>1</v>
      </c>
      <c r="D50" s="1">
        <v>45</v>
      </c>
      <c r="E50" s="88">
        <f>MOD(INT(t_B3n4[[#This Row],[x]]/$B$1^INT(RIGHT(t_B3n4[[#Headers],[b3]],1))),$B$1)</f>
        <v>1</v>
      </c>
      <c r="F50" s="87">
        <f>MOD(INT(t_B3n4[[#This Row],[x]]/$B$1^INT(RIGHT(t_B3n4[[#Headers],[b2]],1))),$B$1)</f>
        <v>2</v>
      </c>
      <c r="G50" s="87">
        <f>MOD(INT(t_B3n4[[#This Row],[x]]/$B$1^INT(RIGHT(t_B3n4[[#Headers],[b1]],1))),$B$1)</f>
        <v>0</v>
      </c>
      <c r="H50" s="88">
        <f>MOD(INT(t_B3n4[[#This Row],[x]]/$B$1^INT(RIGHT(t_B3n4[[#Headers],[b0]],1))),$B$1)</f>
        <v>0</v>
      </c>
      <c r="I50" s="16"/>
      <c r="J50" s="16"/>
    </row>
    <row r="51" spans="1:10" x14ac:dyDescent="0.25">
      <c r="A51" s="139">
        <v>46</v>
      </c>
      <c r="B51" s="139">
        <f>ROUNDUP(t_B3n4_Fixed[[#This Row],[Row]]-$B$3,0)</f>
        <v>6</v>
      </c>
      <c r="C51" s="12">
        <f>t_B3n4[[#This Row],[x]]-D50</f>
        <v>1</v>
      </c>
      <c r="D51" s="9">
        <v>46</v>
      </c>
      <c r="E51" s="186">
        <f>MOD(INT(t_B3n4[[#This Row],[x]]/$B$1^INT(RIGHT(t_B3n4[[#Headers],[b3]],1))),$B$1)</f>
        <v>1</v>
      </c>
      <c r="F51" s="187">
        <f>MOD(INT(t_B3n4[[#This Row],[x]]/$B$1^INT(RIGHT(t_B3n4[[#Headers],[b2]],1))),$B$1)</f>
        <v>2</v>
      </c>
      <c r="G51" s="187">
        <f>MOD(INT(t_B3n4[[#This Row],[x]]/$B$1^INT(RIGHT(t_B3n4[[#Headers],[b1]],1))),$B$1)</f>
        <v>0</v>
      </c>
      <c r="H51" s="186">
        <f>MOD(INT(t_B3n4[[#This Row],[x]]/$B$1^INT(RIGHT(t_B3n4[[#Headers],[b0]],1))),$B$1)</f>
        <v>1</v>
      </c>
      <c r="I51" s="16"/>
      <c r="J51" s="16"/>
    </row>
    <row r="52" spans="1:10" x14ac:dyDescent="0.25">
      <c r="A52" s="139">
        <v>47</v>
      </c>
      <c r="B52" s="139">
        <f>ROUNDUP(t_B3n4_Fixed[[#This Row],[Row]]-$B$3,0)</f>
        <v>7</v>
      </c>
      <c r="C52" s="12">
        <f>t_B3n4[[#This Row],[x]]-D51</f>
        <v>1</v>
      </c>
      <c r="D52" s="1">
        <v>47</v>
      </c>
      <c r="E52" s="71">
        <f>MOD(INT(t_B3n4[[#This Row],[x]]/$B$1^INT(RIGHT(t_B3n4[[#Headers],[b3]],1))),$B$1)</f>
        <v>1</v>
      </c>
      <c r="F52" s="70">
        <f>MOD(INT(t_B3n4[[#This Row],[x]]/$B$1^INT(RIGHT(t_B3n4[[#Headers],[b2]],1))),$B$1)</f>
        <v>2</v>
      </c>
      <c r="G52" s="70">
        <f>MOD(INT(t_B3n4[[#This Row],[x]]/$B$1^INT(RIGHT(t_B3n4[[#Headers],[b1]],1))),$B$1)</f>
        <v>0</v>
      </c>
      <c r="H52" s="71">
        <f>MOD(INT(t_B3n4[[#This Row],[x]]/$B$1^INT(RIGHT(t_B3n4[[#Headers],[b0]],1))),$B$1)</f>
        <v>2</v>
      </c>
      <c r="I52" s="16"/>
      <c r="J52" s="16"/>
    </row>
    <row r="53" spans="1:10" x14ac:dyDescent="0.25">
      <c r="A53" s="139">
        <v>48</v>
      </c>
      <c r="B53" s="139">
        <f>ROUNDUP(t_B3n4_Fixed[[#This Row],[Row]]-$B$3,0)</f>
        <v>8</v>
      </c>
      <c r="C53" s="12">
        <f>t_B3n4[[#This Row],[x]]-D52</f>
        <v>1</v>
      </c>
      <c r="D53" s="1">
        <v>48</v>
      </c>
      <c r="E53" s="78">
        <f>MOD(INT(t_B3n4[[#This Row],[x]]/$B$1^INT(RIGHT(t_B3n4[[#Headers],[b3]],1))),$B$1)</f>
        <v>1</v>
      </c>
      <c r="F53" s="77">
        <f>MOD(INT(t_B3n4[[#This Row],[x]]/$B$1^INT(RIGHT(t_B3n4[[#Headers],[b2]],1))),$B$1)</f>
        <v>2</v>
      </c>
      <c r="G53" s="77">
        <f>MOD(INT(t_B3n4[[#This Row],[x]]/$B$1^INT(RIGHT(t_B3n4[[#Headers],[b1]],1))),$B$1)</f>
        <v>1</v>
      </c>
      <c r="H53" s="78">
        <f>MOD(INT(t_B3n4[[#This Row],[x]]/$B$1^INT(RIGHT(t_B3n4[[#Headers],[b0]],1))),$B$1)</f>
        <v>0</v>
      </c>
      <c r="I53" s="16"/>
      <c r="J53" s="16"/>
    </row>
    <row r="54" spans="1:10" x14ac:dyDescent="0.25">
      <c r="A54" s="139">
        <v>49</v>
      </c>
      <c r="B54" s="139">
        <f>ROUNDUP(t_B3n4_Fixed[[#This Row],[Row]]-$B$3,0)</f>
        <v>9</v>
      </c>
      <c r="C54" s="12">
        <f>t_B3n4[[#This Row],[x]]-D53</f>
        <v>1</v>
      </c>
      <c r="D54" s="9">
        <v>49</v>
      </c>
      <c r="E54" s="47">
        <f>MOD(INT(t_B3n4[[#This Row],[x]]/$B$1^INT(RIGHT(t_B3n4[[#Headers],[b3]],1))),$B$1)</f>
        <v>1</v>
      </c>
      <c r="F54" s="46">
        <f>MOD(INT(t_B3n4[[#This Row],[x]]/$B$1^INT(RIGHT(t_B3n4[[#Headers],[b2]],1))),$B$1)</f>
        <v>2</v>
      </c>
      <c r="G54" s="46">
        <f>MOD(INT(t_B3n4[[#This Row],[x]]/$B$1^INT(RIGHT(t_B3n4[[#Headers],[b1]],1))),$B$1)</f>
        <v>1</v>
      </c>
      <c r="H54" s="47">
        <f>MOD(INT(t_B3n4[[#This Row],[x]]/$B$1^INT(RIGHT(t_B3n4[[#Headers],[b0]],1))),$B$1)</f>
        <v>1</v>
      </c>
      <c r="I54" s="16"/>
      <c r="J54" s="16"/>
    </row>
    <row r="55" spans="1:10" x14ac:dyDescent="0.25">
      <c r="A55" s="139">
        <v>50</v>
      </c>
      <c r="B55" s="139">
        <f>ROUNDUP(t_B3n4_Fixed[[#This Row],[Row]]-$B$3,0)</f>
        <v>10</v>
      </c>
      <c r="C55" s="12">
        <f>t_B3n4[[#This Row],[x]]-D54</f>
        <v>1</v>
      </c>
      <c r="D55" s="1">
        <v>50</v>
      </c>
      <c r="E55" s="41">
        <f>MOD(INT(t_B3n4[[#This Row],[x]]/$B$1^INT(RIGHT(t_B3n4[[#Headers],[b3]],1))),$B$1)</f>
        <v>1</v>
      </c>
      <c r="F55" s="40">
        <f>MOD(INT(t_B3n4[[#This Row],[x]]/$B$1^INT(RIGHT(t_B3n4[[#Headers],[b2]],1))),$B$1)</f>
        <v>2</v>
      </c>
      <c r="G55" s="40">
        <f>MOD(INT(t_B3n4[[#This Row],[x]]/$B$1^INT(RIGHT(t_B3n4[[#Headers],[b1]],1))),$B$1)</f>
        <v>1</v>
      </c>
      <c r="H55" s="41">
        <f>MOD(INT(t_B3n4[[#This Row],[x]]/$B$1^INT(RIGHT(t_B3n4[[#Headers],[b0]],1))),$B$1)</f>
        <v>2</v>
      </c>
      <c r="I55" s="16"/>
      <c r="J55" s="16"/>
    </row>
    <row r="56" spans="1:10" x14ac:dyDescent="0.25">
      <c r="A56" s="139">
        <v>51</v>
      </c>
      <c r="B56" s="139">
        <f>ROUNDUP(t_B3n4_Fixed[[#This Row],[Row]]-$B$3,0)</f>
        <v>11</v>
      </c>
      <c r="C56" s="12">
        <f>t_B3n4[[#This Row],[x]]-D55</f>
        <v>1</v>
      </c>
      <c r="D56" s="1">
        <v>51</v>
      </c>
      <c r="E56" s="63">
        <f>MOD(INT(t_B3n4[[#This Row],[x]]/$B$1^INT(RIGHT(t_B3n4[[#Headers],[b3]],1))),$B$1)</f>
        <v>1</v>
      </c>
      <c r="F56" s="62">
        <f>MOD(INT(t_B3n4[[#This Row],[x]]/$B$1^INT(RIGHT(t_B3n4[[#Headers],[b2]],1))),$B$1)</f>
        <v>2</v>
      </c>
      <c r="G56" s="62">
        <f>MOD(INT(t_B3n4[[#This Row],[x]]/$B$1^INT(RIGHT(t_B3n4[[#Headers],[b1]],1))),$B$1)</f>
        <v>2</v>
      </c>
      <c r="H56" s="63">
        <f>MOD(INT(t_B3n4[[#This Row],[x]]/$B$1^INT(RIGHT(t_B3n4[[#Headers],[b0]],1))),$B$1)</f>
        <v>0</v>
      </c>
      <c r="I56" s="16"/>
      <c r="J56" s="16"/>
    </row>
    <row r="57" spans="1:10" x14ac:dyDescent="0.25">
      <c r="A57" s="139">
        <v>52</v>
      </c>
      <c r="B57" s="139">
        <f>ROUNDUP(t_B3n4_Fixed[[#This Row],[Row]]-$B$3,0)</f>
        <v>12</v>
      </c>
      <c r="C57" s="12">
        <f>t_B3n4[[#This Row],[x]]-D56</f>
        <v>1</v>
      </c>
      <c r="D57" s="1">
        <v>52</v>
      </c>
      <c r="E57" s="184">
        <f>MOD(INT(t_B3n4[[#This Row],[x]]/$B$1^INT(RIGHT(t_B3n4[[#Headers],[b3]],1))),$B$1)</f>
        <v>1</v>
      </c>
      <c r="F57" s="185">
        <f>MOD(INT(t_B3n4[[#This Row],[x]]/$B$1^INT(RIGHT(t_B3n4[[#Headers],[b2]],1))),$B$1)</f>
        <v>2</v>
      </c>
      <c r="G57" s="185">
        <f>MOD(INT(t_B3n4[[#This Row],[x]]/$B$1^INT(RIGHT(t_B3n4[[#Headers],[b1]],1))),$B$1)</f>
        <v>2</v>
      </c>
      <c r="H57" s="184">
        <f>MOD(INT(t_B3n4[[#This Row],[x]]/$B$1^INT(RIGHT(t_B3n4[[#Headers],[b0]],1))),$B$1)</f>
        <v>1</v>
      </c>
      <c r="I57" s="16"/>
      <c r="J57" s="16"/>
    </row>
    <row r="58" spans="1:10" x14ac:dyDescent="0.25">
      <c r="A58" s="139">
        <v>53</v>
      </c>
      <c r="B58" s="139">
        <f>ROUNDUP(t_B3n4_Fixed[[#This Row],[Row]]-$B$3,0)</f>
        <v>13</v>
      </c>
      <c r="C58" s="12">
        <f>t_B3n4[[#This Row],[x]]-D57</f>
        <v>1</v>
      </c>
      <c r="D58" s="1">
        <v>53</v>
      </c>
      <c r="E58" s="55">
        <f>MOD(INT(t_B3n4[[#This Row],[x]]/$B$1^INT(RIGHT(t_B3n4[[#Headers],[b3]],1))),$B$1)</f>
        <v>1</v>
      </c>
      <c r="F58" s="54">
        <f>MOD(INT(t_B3n4[[#This Row],[x]]/$B$1^INT(RIGHT(t_B3n4[[#Headers],[b2]],1))),$B$1)</f>
        <v>2</v>
      </c>
      <c r="G58" s="54">
        <f>MOD(INT(t_B3n4[[#This Row],[x]]/$B$1^INT(RIGHT(t_B3n4[[#Headers],[b1]],1))),$B$1)</f>
        <v>2</v>
      </c>
      <c r="H58" s="55">
        <f>MOD(INT(t_B3n4[[#This Row],[x]]/$B$1^INT(RIGHT(t_B3n4[[#Headers],[b0]],1))),$B$1)</f>
        <v>2</v>
      </c>
      <c r="I58" s="16"/>
      <c r="J58" s="16"/>
    </row>
    <row r="59" spans="1:10" x14ac:dyDescent="0.25">
      <c r="A59" s="139">
        <v>54</v>
      </c>
      <c r="B59" s="139">
        <f>ROUNDUP(t_B3n4_Fixed[[#This Row],[Row]]-$B$3,0)</f>
        <v>14</v>
      </c>
      <c r="C59" s="12">
        <f>t_B3n4[[#This Row],[x]]-D58</f>
        <v>1</v>
      </c>
      <c r="D59" s="1">
        <v>54</v>
      </c>
      <c r="E59" s="45">
        <f>MOD(INT(t_B3n4[[#This Row],[x]]/$B$1^INT(RIGHT(t_B3n4[[#Headers],[b3]],1))),$B$1)</f>
        <v>2</v>
      </c>
      <c r="F59" s="44">
        <f>MOD(INT(t_B3n4[[#This Row],[x]]/$B$1^INT(RIGHT(t_B3n4[[#Headers],[b2]],1))),$B$1)</f>
        <v>0</v>
      </c>
      <c r="G59" s="44">
        <f>MOD(INT(t_B3n4[[#This Row],[x]]/$B$1^INT(RIGHT(t_B3n4[[#Headers],[b1]],1))),$B$1)</f>
        <v>0</v>
      </c>
      <c r="H59" s="45">
        <f>MOD(INT(t_B3n4[[#This Row],[x]]/$B$1^INT(RIGHT(t_B3n4[[#Headers],[b0]],1))),$B$1)</f>
        <v>0</v>
      </c>
      <c r="I59" s="16"/>
      <c r="J59" s="16"/>
    </row>
    <row r="60" spans="1:10" x14ac:dyDescent="0.25">
      <c r="A60" s="139">
        <v>55</v>
      </c>
      <c r="B60" s="139">
        <f>ROUNDUP(t_B3n4_Fixed[[#This Row],[Row]]-$B$3,0)</f>
        <v>15</v>
      </c>
      <c r="C60" s="12">
        <f>t_B3n4[[#This Row],[x]]-D59</f>
        <v>1</v>
      </c>
      <c r="D60" s="1">
        <v>55</v>
      </c>
      <c r="E60" s="88">
        <f>MOD(INT(t_B3n4[[#This Row],[x]]/$B$1^INT(RIGHT(t_B3n4[[#Headers],[b3]],1))),$B$1)</f>
        <v>2</v>
      </c>
      <c r="F60" s="87">
        <f>MOD(INT(t_B3n4[[#This Row],[x]]/$B$1^INT(RIGHT(t_B3n4[[#Headers],[b2]],1))),$B$1)</f>
        <v>0</v>
      </c>
      <c r="G60" s="87">
        <f>MOD(INT(t_B3n4[[#This Row],[x]]/$B$1^INT(RIGHT(t_B3n4[[#Headers],[b1]],1))),$B$1)</f>
        <v>0</v>
      </c>
      <c r="H60" s="88">
        <f>MOD(INT(t_B3n4[[#This Row],[x]]/$B$1^INT(RIGHT(t_B3n4[[#Headers],[b0]],1))),$B$1)</f>
        <v>1</v>
      </c>
      <c r="I60" s="16"/>
      <c r="J60" s="16"/>
    </row>
    <row r="61" spans="1:10" x14ac:dyDescent="0.25">
      <c r="A61" s="139">
        <v>56</v>
      </c>
      <c r="B61" s="139">
        <f>ROUNDUP(t_B3n4_Fixed[[#This Row],[Row]]-$B$3,0)</f>
        <v>16</v>
      </c>
      <c r="C61" s="12">
        <f>t_B3n4[[#This Row],[x]]-D60</f>
        <v>1</v>
      </c>
      <c r="D61" s="1">
        <v>56</v>
      </c>
      <c r="E61" s="84">
        <f>MOD(INT(t_B3n4[[#This Row],[x]]/$B$1^INT(RIGHT(t_B3n4[[#Headers],[b3]],1))),$B$1)</f>
        <v>2</v>
      </c>
      <c r="F61" s="83">
        <f>MOD(INT(t_B3n4[[#This Row],[x]]/$B$1^INT(RIGHT(t_B3n4[[#Headers],[b2]],1))),$B$1)</f>
        <v>0</v>
      </c>
      <c r="G61" s="83">
        <f>MOD(INT(t_B3n4[[#This Row],[x]]/$B$1^INT(RIGHT(t_B3n4[[#Headers],[b1]],1))),$B$1)</f>
        <v>0</v>
      </c>
      <c r="H61" s="84">
        <f>MOD(INT(t_B3n4[[#This Row],[x]]/$B$1^INT(RIGHT(t_B3n4[[#Headers],[b0]],1))),$B$1)</f>
        <v>2</v>
      </c>
      <c r="I61" s="16"/>
      <c r="J61" s="16"/>
    </row>
    <row r="62" spans="1:10" x14ac:dyDescent="0.25">
      <c r="A62" s="139">
        <v>57</v>
      </c>
      <c r="B62" s="139">
        <f>ROUNDUP(t_B3n4_Fixed[[#This Row],[Row]]-$B$3,0)</f>
        <v>17</v>
      </c>
      <c r="C62" s="12">
        <f>t_B3n4[[#This Row],[x]]-D61</f>
        <v>1</v>
      </c>
      <c r="D62" s="1">
        <v>57</v>
      </c>
      <c r="E62" s="67">
        <f>MOD(INT(t_B3n4[[#This Row],[x]]/$B$1^INT(RIGHT(t_B3n4[[#Headers],[b3]],1))),$B$1)</f>
        <v>2</v>
      </c>
      <c r="F62" s="66">
        <f>MOD(INT(t_B3n4[[#This Row],[x]]/$B$1^INT(RIGHT(t_B3n4[[#Headers],[b2]],1))),$B$1)</f>
        <v>0</v>
      </c>
      <c r="G62" s="66">
        <f>MOD(INT(t_B3n4[[#This Row],[x]]/$B$1^INT(RIGHT(t_B3n4[[#Headers],[b1]],1))),$B$1)</f>
        <v>1</v>
      </c>
      <c r="H62" s="67">
        <f>MOD(INT(t_B3n4[[#This Row],[x]]/$B$1^INT(RIGHT(t_B3n4[[#Headers],[b0]],1))),$B$1)</f>
        <v>0</v>
      </c>
      <c r="I62" s="16"/>
      <c r="J62" s="16"/>
    </row>
    <row r="63" spans="1:10" x14ac:dyDescent="0.25">
      <c r="A63" s="139">
        <v>58</v>
      </c>
      <c r="B63" s="139">
        <f>ROUNDUP(t_B3n4_Fixed[[#This Row],[Row]]-$B$3,0)</f>
        <v>18</v>
      </c>
      <c r="C63" s="12">
        <f>t_B3n4[[#This Row],[x]]-D62</f>
        <v>1</v>
      </c>
      <c r="D63" s="1">
        <v>58</v>
      </c>
      <c r="E63" s="186">
        <f>MOD(INT(t_B3n4[[#This Row],[x]]/$B$1^INT(RIGHT(t_B3n4[[#Headers],[b3]],1))),$B$1)</f>
        <v>2</v>
      </c>
      <c r="F63" s="187">
        <f>MOD(INT(t_B3n4[[#This Row],[x]]/$B$1^INT(RIGHT(t_B3n4[[#Headers],[b2]],1))),$B$1)</f>
        <v>0</v>
      </c>
      <c r="G63" s="187">
        <f>MOD(INT(t_B3n4[[#This Row],[x]]/$B$1^INT(RIGHT(t_B3n4[[#Headers],[b1]],1))),$B$1)</f>
        <v>1</v>
      </c>
      <c r="H63" s="186">
        <f>MOD(INT(t_B3n4[[#This Row],[x]]/$B$1^INT(RIGHT(t_B3n4[[#Headers],[b0]],1))),$B$1)</f>
        <v>1</v>
      </c>
      <c r="I63" s="16"/>
      <c r="J63" s="16"/>
    </row>
    <row r="64" spans="1:10" x14ac:dyDescent="0.25">
      <c r="A64" s="139">
        <v>59</v>
      </c>
      <c r="B64" s="139">
        <f>ROUNDUP(t_B3n4_Fixed[[#This Row],[Row]]-$B$3,0)</f>
        <v>19</v>
      </c>
      <c r="C64" s="12">
        <f>t_B3n4[[#This Row],[x]]-D63</f>
        <v>1</v>
      </c>
      <c r="D64" s="9">
        <v>59</v>
      </c>
      <c r="E64" s="63">
        <f>MOD(INT(t_B3n4[[#This Row],[x]]/$B$1^INT(RIGHT(t_B3n4[[#Headers],[b3]],1))),$B$1)</f>
        <v>2</v>
      </c>
      <c r="F64" s="62">
        <f>MOD(INT(t_B3n4[[#This Row],[x]]/$B$1^INT(RIGHT(t_B3n4[[#Headers],[b2]],1))),$B$1)</f>
        <v>0</v>
      </c>
      <c r="G64" s="62">
        <f>MOD(INT(t_B3n4[[#This Row],[x]]/$B$1^INT(RIGHT(t_B3n4[[#Headers],[b1]],1))),$B$1)</f>
        <v>1</v>
      </c>
      <c r="H64" s="63">
        <f>MOD(INT(t_B3n4[[#This Row],[x]]/$B$1^INT(RIGHT(t_B3n4[[#Headers],[b0]],1))),$B$1)</f>
        <v>2</v>
      </c>
      <c r="I64" s="16"/>
      <c r="J64" s="16"/>
    </row>
    <row r="65" spans="1:10" x14ac:dyDescent="0.25">
      <c r="A65" s="139">
        <v>60</v>
      </c>
      <c r="B65" s="139">
        <f>ROUNDUP(t_B3n4_Fixed[[#This Row],[Row]]-$B$3,0)</f>
        <v>20</v>
      </c>
      <c r="C65" s="12">
        <f>t_B3n4[[#This Row],[x]]-D64</f>
        <v>1</v>
      </c>
      <c r="D65" s="1">
        <v>60</v>
      </c>
      <c r="E65" s="80">
        <f>MOD(INT(t_B3n4[[#This Row],[x]]/$B$1^INT(RIGHT(t_B3n4[[#Headers],[b3]],1))),$B$1)</f>
        <v>2</v>
      </c>
      <c r="F65" s="79">
        <f>MOD(INT(t_B3n4[[#This Row],[x]]/$B$1^INT(RIGHT(t_B3n4[[#Headers],[b2]],1))),$B$1)</f>
        <v>0</v>
      </c>
      <c r="G65" s="79">
        <f>MOD(INT(t_B3n4[[#This Row],[x]]/$B$1^INT(RIGHT(t_B3n4[[#Headers],[b1]],1))),$B$1)</f>
        <v>2</v>
      </c>
      <c r="H65" s="80">
        <f>MOD(INT(t_B3n4[[#This Row],[x]]/$B$1^INT(RIGHT(t_B3n4[[#Headers],[b0]],1))),$B$1)</f>
        <v>0</v>
      </c>
      <c r="I65" s="16"/>
      <c r="J65" s="16"/>
    </row>
    <row r="66" spans="1:10" x14ac:dyDescent="0.25">
      <c r="A66" s="139">
        <v>61</v>
      </c>
      <c r="B66" s="139">
        <f>ROUNDUP(t_B3n4_Fixed[[#This Row],[Row]]-$B$3,0)</f>
        <v>21</v>
      </c>
      <c r="C66" s="12">
        <f>t_B3n4[[#This Row],[x]]-D65</f>
        <v>1</v>
      </c>
      <c r="D66" s="1">
        <v>61</v>
      </c>
      <c r="E66" s="71">
        <f>MOD(INT(t_B3n4[[#This Row],[x]]/$B$1^INT(RIGHT(t_B3n4[[#Headers],[b3]],1))),$B$1)</f>
        <v>2</v>
      </c>
      <c r="F66" s="70">
        <f>MOD(INT(t_B3n4[[#This Row],[x]]/$B$1^INT(RIGHT(t_B3n4[[#Headers],[b2]],1))),$B$1)</f>
        <v>0</v>
      </c>
      <c r="G66" s="70">
        <f>MOD(INT(t_B3n4[[#This Row],[x]]/$B$1^INT(RIGHT(t_B3n4[[#Headers],[b1]],1))),$B$1)</f>
        <v>2</v>
      </c>
      <c r="H66" s="71">
        <f>MOD(INT(t_B3n4[[#This Row],[x]]/$B$1^INT(RIGHT(t_B3n4[[#Headers],[b0]],1))),$B$1)</f>
        <v>1</v>
      </c>
      <c r="I66" s="16"/>
      <c r="J66" s="16"/>
    </row>
    <row r="67" spans="1:10" x14ac:dyDescent="0.25">
      <c r="A67" s="139">
        <v>62</v>
      </c>
      <c r="B67" s="139">
        <f>ROUNDUP(t_B3n4_Fixed[[#This Row],[Row]]-$B$3,0)</f>
        <v>22</v>
      </c>
      <c r="C67" s="12">
        <f>t_B3n4[[#This Row],[x]]-D66</f>
        <v>1</v>
      </c>
      <c r="D67" s="1">
        <v>62</v>
      </c>
      <c r="E67" s="39">
        <f>MOD(INT(t_B3n4[[#This Row],[x]]/$B$1^INT(RIGHT(t_B3n4[[#Headers],[b3]],1))),$B$1)</f>
        <v>2</v>
      </c>
      <c r="F67" s="38">
        <f>MOD(INT(t_B3n4[[#This Row],[x]]/$B$1^INT(RIGHT(t_B3n4[[#Headers],[b2]],1))),$B$1)</f>
        <v>0</v>
      </c>
      <c r="G67" s="38">
        <f>MOD(INT(t_B3n4[[#This Row],[x]]/$B$1^INT(RIGHT(t_B3n4[[#Headers],[b1]],1))),$B$1)</f>
        <v>2</v>
      </c>
      <c r="H67" s="39">
        <f>MOD(INT(t_B3n4[[#This Row],[x]]/$B$1^INT(RIGHT(t_B3n4[[#Headers],[b0]],1))),$B$1)</f>
        <v>2</v>
      </c>
      <c r="I67" s="16"/>
      <c r="J67" s="16"/>
    </row>
    <row r="68" spans="1:10" x14ac:dyDescent="0.25">
      <c r="A68" s="139">
        <v>63</v>
      </c>
      <c r="B68" s="139">
        <f>ROUNDUP(t_B3n4_Fixed[[#This Row],[Row]]-$B$3,0)</f>
        <v>23</v>
      </c>
      <c r="C68" s="12">
        <f>t_B3n4[[#This Row],[x]]-D67</f>
        <v>1</v>
      </c>
      <c r="D68" s="1">
        <v>63</v>
      </c>
      <c r="E68" s="51">
        <f>MOD(INT(t_B3n4[[#This Row],[x]]/$B$1^INT(RIGHT(t_B3n4[[#Headers],[b3]],1))),$B$1)</f>
        <v>2</v>
      </c>
      <c r="F68" s="50">
        <f>MOD(INT(t_B3n4[[#This Row],[x]]/$B$1^INT(RIGHT(t_B3n4[[#Headers],[b2]],1))),$B$1)</f>
        <v>1</v>
      </c>
      <c r="G68" s="50">
        <f>MOD(INT(t_B3n4[[#This Row],[x]]/$B$1^INT(RIGHT(t_B3n4[[#Headers],[b1]],1))),$B$1)</f>
        <v>0</v>
      </c>
      <c r="H68" s="51">
        <f>MOD(INT(t_B3n4[[#This Row],[x]]/$B$1^INT(RIGHT(t_B3n4[[#Headers],[b0]],1))),$B$1)</f>
        <v>0</v>
      </c>
      <c r="I68" s="16"/>
      <c r="J68" s="16"/>
    </row>
    <row r="69" spans="1:10" x14ac:dyDescent="0.25">
      <c r="A69" s="139">
        <v>64</v>
      </c>
      <c r="B69" s="139">
        <f>ROUNDUP(t_B3n4_Fixed[[#This Row],[Row]]-$B$3,0)</f>
        <v>24</v>
      </c>
      <c r="C69" s="12">
        <f>t_B3n4[[#This Row],[x]]-D68</f>
        <v>1</v>
      </c>
      <c r="D69" s="1">
        <v>64</v>
      </c>
      <c r="E69" s="78">
        <f>MOD(INT(t_B3n4[[#This Row],[x]]/$B$1^INT(RIGHT(t_B3n4[[#Headers],[b3]],1))),$B$1)</f>
        <v>2</v>
      </c>
      <c r="F69" s="77">
        <f>MOD(INT(t_B3n4[[#This Row],[x]]/$B$1^INT(RIGHT(t_B3n4[[#Headers],[b2]],1))),$B$1)</f>
        <v>1</v>
      </c>
      <c r="G69" s="77">
        <f>MOD(INT(t_B3n4[[#This Row],[x]]/$B$1^INT(RIGHT(t_B3n4[[#Headers],[b1]],1))),$B$1)</f>
        <v>0</v>
      </c>
      <c r="H69" s="78">
        <f>MOD(INT(t_B3n4[[#This Row],[x]]/$B$1^INT(RIGHT(t_B3n4[[#Headers],[b0]],1))),$B$1)</f>
        <v>1</v>
      </c>
      <c r="I69" s="16"/>
      <c r="J69" s="16"/>
    </row>
    <row r="70" spans="1:10" x14ac:dyDescent="0.25">
      <c r="A70" s="139">
        <v>65</v>
      </c>
      <c r="B70" s="139">
        <f>ROUNDUP(t_B3n4_Fixed[[#This Row],[Row]]-$B$3,0)</f>
        <v>25</v>
      </c>
      <c r="C70" s="12">
        <f>t_B3n4[[#This Row],[x]]-D69</f>
        <v>1</v>
      </c>
      <c r="D70" s="1">
        <v>65</v>
      </c>
      <c r="E70" s="61">
        <f>MOD(INT(t_B3n4[[#This Row],[x]]/$B$1^INT(RIGHT(t_B3n4[[#Headers],[b3]],1))),$B$1)</f>
        <v>2</v>
      </c>
      <c r="F70" s="60">
        <f>MOD(INT(t_B3n4[[#This Row],[x]]/$B$1^INT(RIGHT(t_B3n4[[#Headers],[b2]],1))),$B$1)</f>
        <v>1</v>
      </c>
      <c r="G70" s="60">
        <f>MOD(INT(t_B3n4[[#This Row],[x]]/$B$1^INT(RIGHT(t_B3n4[[#Headers],[b1]],1))),$B$1)</f>
        <v>0</v>
      </c>
      <c r="H70" s="61">
        <f>MOD(INT(t_B3n4[[#This Row],[x]]/$B$1^INT(RIGHT(t_B3n4[[#Headers],[b0]],1))),$B$1)</f>
        <v>2</v>
      </c>
      <c r="I70" s="16"/>
      <c r="J70" s="16"/>
    </row>
    <row r="71" spans="1:10" x14ac:dyDescent="0.25">
      <c r="A71" s="139">
        <v>66</v>
      </c>
      <c r="B71" s="139">
        <f>ROUNDUP(t_B3n4_Fixed[[#This Row],[Row]]-$B$3,0)</f>
        <v>26</v>
      </c>
      <c r="C71" s="12">
        <f>t_B3n4[[#This Row],[x]]-D70</f>
        <v>1</v>
      </c>
      <c r="D71" s="1">
        <v>66</v>
      </c>
      <c r="E71" s="111">
        <f>MOD(INT(t_B3n4[[#This Row],[x]]/$B$1^INT(RIGHT(t_B3n4[[#Headers],[b3]],1))),$B$1)</f>
        <v>2</v>
      </c>
      <c r="F71" s="112">
        <f>MOD(INT(t_B3n4[[#This Row],[x]]/$B$1^INT(RIGHT(t_B3n4[[#Headers],[b2]],1))),$B$1)</f>
        <v>1</v>
      </c>
      <c r="G71" s="112">
        <f>MOD(INT(t_B3n4[[#This Row],[x]]/$B$1^INT(RIGHT(t_B3n4[[#Headers],[b1]],1))),$B$1)</f>
        <v>1</v>
      </c>
      <c r="H71" s="111">
        <f>MOD(INT(t_B3n4[[#This Row],[x]]/$B$1^INT(RIGHT(t_B3n4[[#Headers],[b0]],1))),$B$1)</f>
        <v>0</v>
      </c>
      <c r="I71" s="16"/>
      <c r="J71" s="16"/>
    </row>
    <row r="72" spans="1:10" x14ac:dyDescent="0.25">
      <c r="A72" s="139">
        <v>67</v>
      </c>
      <c r="B72" s="139">
        <f>ROUNDUP(t_B3n4_Fixed[[#This Row],[Row]]-$B$3,0)</f>
        <v>27</v>
      </c>
      <c r="C72" s="12">
        <f>t_B3n4[[#This Row],[x]]-D71</f>
        <v>1</v>
      </c>
      <c r="D72" s="1">
        <v>67</v>
      </c>
      <c r="E72" s="47">
        <f>MOD(INT(t_B3n4[[#This Row],[x]]/$B$1^INT(RIGHT(t_B3n4[[#Headers],[b3]],1))),$B$1)</f>
        <v>2</v>
      </c>
      <c r="F72" s="46">
        <f>MOD(INT(t_B3n4[[#This Row],[x]]/$B$1^INT(RIGHT(t_B3n4[[#Headers],[b2]],1))),$B$1)</f>
        <v>1</v>
      </c>
      <c r="G72" s="46">
        <f>MOD(INT(t_B3n4[[#This Row],[x]]/$B$1^INT(RIGHT(t_B3n4[[#Headers],[b1]],1))),$B$1)</f>
        <v>1</v>
      </c>
      <c r="H72" s="47">
        <f>MOD(INT(t_B3n4[[#This Row],[x]]/$B$1^INT(RIGHT(t_B3n4[[#Headers],[b0]],1))),$B$1)</f>
        <v>1</v>
      </c>
      <c r="I72" s="16"/>
      <c r="J72" s="16"/>
    </row>
    <row r="73" spans="1:10" x14ac:dyDescent="0.25">
      <c r="A73" s="139">
        <v>68</v>
      </c>
      <c r="B73" s="139">
        <f>ROUNDUP(t_B3n4_Fixed[[#This Row],[Row]]-$B$3,0)</f>
        <v>28</v>
      </c>
      <c r="C73" s="12">
        <f>t_B3n4[[#This Row],[x]]-D72</f>
        <v>1</v>
      </c>
      <c r="D73" s="1">
        <v>68</v>
      </c>
      <c r="E73" s="184">
        <f>MOD(INT(t_B3n4[[#This Row],[x]]/$B$1^INT(RIGHT(t_B3n4[[#Headers],[b3]],1))),$B$1)</f>
        <v>2</v>
      </c>
      <c r="F73" s="185">
        <f>MOD(INT(t_B3n4[[#This Row],[x]]/$B$1^INT(RIGHT(t_B3n4[[#Headers],[b2]],1))),$B$1)</f>
        <v>1</v>
      </c>
      <c r="G73" s="185">
        <f>MOD(INT(t_B3n4[[#This Row],[x]]/$B$1^INT(RIGHT(t_B3n4[[#Headers],[b1]],1))),$B$1)</f>
        <v>1</v>
      </c>
      <c r="H73" s="184">
        <f>MOD(INT(t_B3n4[[#This Row],[x]]/$B$1^INT(RIGHT(t_B3n4[[#Headers],[b0]],1))),$B$1)</f>
        <v>2</v>
      </c>
      <c r="I73" s="16"/>
      <c r="J73" s="16"/>
    </row>
    <row r="74" spans="1:10" x14ac:dyDescent="0.25">
      <c r="A74" s="139">
        <v>69</v>
      </c>
      <c r="B74" s="139">
        <f>ROUNDUP(t_B3n4_Fixed[[#This Row],[Row]]-$B$3,0)</f>
        <v>29</v>
      </c>
      <c r="C74" s="12">
        <f>t_B3n4[[#This Row],[x]]-D73</f>
        <v>1</v>
      </c>
      <c r="D74" s="1">
        <v>69</v>
      </c>
      <c r="E74" s="71">
        <f>MOD(INT(t_B3n4[[#This Row],[x]]/$B$1^INT(RIGHT(t_B3n4[[#Headers],[b3]],1))),$B$1)</f>
        <v>2</v>
      </c>
      <c r="F74" s="70">
        <f>MOD(INT(t_B3n4[[#This Row],[x]]/$B$1^INT(RIGHT(t_B3n4[[#Headers],[b2]],1))),$B$1)</f>
        <v>1</v>
      </c>
      <c r="G74" s="70">
        <f>MOD(INT(t_B3n4[[#This Row],[x]]/$B$1^INT(RIGHT(t_B3n4[[#Headers],[b1]],1))),$B$1)</f>
        <v>2</v>
      </c>
      <c r="H74" s="71">
        <f>MOD(INT(t_B3n4[[#This Row],[x]]/$B$1^INT(RIGHT(t_B3n4[[#Headers],[b0]],1))),$B$1)</f>
        <v>0</v>
      </c>
      <c r="I74" s="16"/>
      <c r="J74" s="16"/>
    </row>
    <row r="75" spans="1:10" x14ac:dyDescent="0.25">
      <c r="A75" s="139">
        <v>70</v>
      </c>
      <c r="B75" s="139">
        <f>ROUNDUP(t_B3n4_Fixed[[#This Row],[Row]]-$B$3,0)</f>
        <v>30</v>
      </c>
      <c r="C75" s="12">
        <f>t_B3n4[[#This Row],[x]]-D74</f>
        <v>1</v>
      </c>
      <c r="D75" s="1">
        <v>70</v>
      </c>
      <c r="E75" s="41">
        <f>MOD(INT(t_B3n4[[#This Row],[x]]/$B$1^INT(RIGHT(t_B3n4[[#Headers],[b3]],1))),$B$1)</f>
        <v>2</v>
      </c>
      <c r="F75" s="40">
        <f>MOD(INT(t_B3n4[[#This Row],[x]]/$B$1^INT(RIGHT(t_B3n4[[#Headers],[b2]],1))),$B$1)</f>
        <v>1</v>
      </c>
      <c r="G75" s="40">
        <f>MOD(INT(t_B3n4[[#This Row],[x]]/$B$1^INT(RIGHT(t_B3n4[[#Headers],[b1]],1))),$B$1)</f>
        <v>2</v>
      </c>
      <c r="H75" s="41">
        <f>MOD(INT(t_B3n4[[#This Row],[x]]/$B$1^INT(RIGHT(t_B3n4[[#Headers],[b0]],1))),$B$1)</f>
        <v>1</v>
      </c>
      <c r="I75" s="16"/>
      <c r="J75" s="16"/>
    </row>
    <row r="76" spans="1:10" x14ac:dyDescent="0.25">
      <c r="A76" s="139">
        <v>71</v>
      </c>
      <c r="B76" s="139">
        <f>ROUNDUP(t_B3n4_Fixed[[#This Row],[Row]]-$B$3,0)</f>
        <v>31</v>
      </c>
      <c r="C76" s="12">
        <f>t_B3n4[[#This Row],[x]]-D75</f>
        <v>1</v>
      </c>
      <c r="D76" s="1">
        <v>71</v>
      </c>
      <c r="E76" s="55">
        <f>MOD(INT(t_B3n4[[#This Row],[x]]/$B$1^INT(RIGHT(t_B3n4[[#Headers],[b3]],1))),$B$1)</f>
        <v>2</v>
      </c>
      <c r="F76" s="54">
        <f>MOD(INT(t_B3n4[[#This Row],[x]]/$B$1^INT(RIGHT(t_B3n4[[#Headers],[b2]],1))),$B$1)</f>
        <v>1</v>
      </c>
      <c r="G76" s="54">
        <f>MOD(INT(t_B3n4[[#This Row],[x]]/$B$1^INT(RIGHT(t_B3n4[[#Headers],[b1]],1))),$B$1)</f>
        <v>2</v>
      </c>
      <c r="H76" s="55">
        <f>MOD(INT(t_B3n4[[#This Row],[x]]/$B$1^INT(RIGHT(t_B3n4[[#Headers],[b0]],1))),$B$1)</f>
        <v>2</v>
      </c>
      <c r="I76" s="16"/>
      <c r="J76" s="16"/>
    </row>
    <row r="77" spans="1:10" x14ac:dyDescent="0.25">
      <c r="A77" s="139">
        <v>72</v>
      </c>
      <c r="B77" s="139">
        <f>ROUNDUP(t_B3n4_Fixed[[#This Row],[Row]]-$B$3,0)</f>
        <v>32</v>
      </c>
      <c r="C77" s="12">
        <f>t_B3n4[[#This Row],[x]]-D76</f>
        <v>1</v>
      </c>
      <c r="D77" s="1">
        <v>72</v>
      </c>
      <c r="E77" s="84">
        <f>MOD(INT(t_B3n4[[#This Row],[x]]/$B$1^INT(RIGHT(t_B3n4[[#Headers],[b3]],1))),$B$1)</f>
        <v>2</v>
      </c>
      <c r="F77" s="83">
        <f>MOD(INT(t_B3n4[[#This Row],[x]]/$B$1^INT(RIGHT(t_B3n4[[#Headers],[b2]],1))),$B$1)</f>
        <v>2</v>
      </c>
      <c r="G77" s="83">
        <f>MOD(INT(t_B3n4[[#This Row],[x]]/$B$1^INT(RIGHT(t_B3n4[[#Headers],[b1]],1))),$B$1)</f>
        <v>0</v>
      </c>
      <c r="H77" s="84">
        <f>MOD(INT(t_B3n4[[#This Row],[x]]/$B$1^INT(RIGHT(t_B3n4[[#Headers],[b0]],1))),$B$1)</f>
        <v>0</v>
      </c>
      <c r="I77" s="16"/>
      <c r="J77" s="16"/>
    </row>
    <row r="78" spans="1:10" x14ac:dyDescent="0.25">
      <c r="A78" s="139">
        <v>73</v>
      </c>
      <c r="B78" s="139">
        <f>ROUNDUP(t_B3n4_Fixed[[#This Row],[Row]]-$B$3,0)</f>
        <v>33</v>
      </c>
      <c r="C78" s="12">
        <f>t_B3n4[[#This Row],[x]]-D77</f>
        <v>1</v>
      </c>
      <c r="D78" s="1">
        <v>73</v>
      </c>
      <c r="E78" s="63">
        <f>MOD(INT(t_B3n4[[#This Row],[x]]/$B$1^INT(RIGHT(t_B3n4[[#Headers],[b3]],1))),$B$1)</f>
        <v>2</v>
      </c>
      <c r="F78" s="62">
        <f>MOD(INT(t_B3n4[[#This Row],[x]]/$B$1^INT(RIGHT(t_B3n4[[#Headers],[b2]],1))),$B$1)</f>
        <v>2</v>
      </c>
      <c r="G78" s="62">
        <f>MOD(INT(t_B3n4[[#This Row],[x]]/$B$1^INT(RIGHT(t_B3n4[[#Headers],[b1]],1))),$B$1)</f>
        <v>0</v>
      </c>
      <c r="H78" s="63">
        <f>MOD(INT(t_B3n4[[#This Row],[x]]/$B$1^INT(RIGHT(t_B3n4[[#Headers],[b0]],1))),$B$1)</f>
        <v>1</v>
      </c>
      <c r="I78" s="16"/>
      <c r="J78" s="16"/>
    </row>
    <row r="79" spans="1:10" x14ac:dyDescent="0.25">
      <c r="A79" s="139">
        <v>74</v>
      </c>
      <c r="B79" s="139">
        <f>ROUNDUP(t_B3n4_Fixed[[#This Row],[Row]]-$B$3,0)</f>
        <v>34</v>
      </c>
      <c r="C79" s="12">
        <f>t_B3n4[[#This Row],[x]]-D78</f>
        <v>1</v>
      </c>
      <c r="D79" s="1">
        <v>74</v>
      </c>
      <c r="E79" s="39">
        <f>MOD(INT(t_B3n4[[#This Row],[x]]/$B$1^INT(RIGHT(t_B3n4[[#Headers],[b3]],1))),$B$1)</f>
        <v>2</v>
      </c>
      <c r="F79" s="38">
        <f>MOD(INT(t_B3n4[[#This Row],[x]]/$B$1^INT(RIGHT(t_B3n4[[#Headers],[b2]],1))),$B$1)</f>
        <v>2</v>
      </c>
      <c r="G79" s="38">
        <f>MOD(INT(t_B3n4[[#This Row],[x]]/$B$1^INT(RIGHT(t_B3n4[[#Headers],[b1]],1))),$B$1)</f>
        <v>0</v>
      </c>
      <c r="H79" s="39">
        <f>MOD(INT(t_B3n4[[#This Row],[x]]/$B$1^INT(RIGHT(t_B3n4[[#Headers],[b0]],1))),$B$1)</f>
        <v>2</v>
      </c>
      <c r="I79" s="16"/>
      <c r="J79" s="16"/>
    </row>
    <row r="80" spans="1:10" x14ac:dyDescent="0.25">
      <c r="A80" s="139">
        <v>75</v>
      </c>
      <c r="B80" s="139">
        <f>ROUNDUP(t_B3n4_Fixed[[#This Row],[Row]]-$B$3,0)</f>
        <v>35</v>
      </c>
      <c r="C80" s="12">
        <f>t_B3n4[[#This Row],[x]]-D79</f>
        <v>1</v>
      </c>
      <c r="D80" s="1">
        <v>75</v>
      </c>
      <c r="E80" s="61">
        <f>MOD(INT(t_B3n4[[#This Row],[x]]/$B$1^INT(RIGHT(t_B3n4[[#Headers],[b3]],1))),$B$1)</f>
        <v>2</v>
      </c>
      <c r="F80" s="60">
        <f>MOD(INT(t_B3n4[[#This Row],[x]]/$B$1^INT(RIGHT(t_B3n4[[#Headers],[b2]],1))),$B$1)</f>
        <v>2</v>
      </c>
      <c r="G80" s="60">
        <f>MOD(INT(t_B3n4[[#This Row],[x]]/$B$1^INT(RIGHT(t_B3n4[[#Headers],[b1]],1))),$B$1)</f>
        <v>1</v>
      </c>
      <c r="H80" s="61">
        <f>MOD(INT(t_B3n4[[#This Row],[x]]/$B$1^INT(RIGHT(t_B3n4[[#Headers],[b0]],1))),$B$1)</f>
        <v>0</v>
      </c>
      <c r="I80" s="16"/>
      <c r="J80" s="16"/>
    </row>
    <row r="81" spans="1:10" x14ac:dyDescent="0.25">
      <c r="A81" s="139">
        <v>76</v>
      </c>
      <c r="B81" s="139">
        <f>ROUNDUP(t_B3n4_Fixed[[#This Row],[Row]]-$B$3,0)</f>
        <v>36</v>
      </c>
      <c r="C81" s="12">
        <f>t_B3n4[[#This Row],[x]]-D80</f>
        <v>1</v>
      </c>
      <c r="D81" s="1">
        <v>76</v>
      </c>
      <c r="E81" s="184">
        <f>MOD(INT(t_B3n4[[#This Row],[x]]/$B$1^INT(RIGHT(t_B3n4[[#Headers],[b3]],1))),$B$1)</f>
        <v>2</v>
      </c>
      <c r="F81" s="185">
        <f>MOD(INT(t_B3n4[[#This Row],[x]]/$B$1^INT(RIGHT(t_B3n4[[#Headers],[b2]],1))),$B$1)</f>
        <v>2</v>
      </c>
      <c r="G81" s="185">
        <f>MOD(INT(t_B3n4[[#This Row],[x]]/$B$1^INT(RIGHT(t_B3n4[[#Headers],[b1]],1))),$B$1)</f>
        <v>1</v>
      </c>
      <c r="H81" s="184">
        <f>MOD(INT(t_B3n4[[#This Row],[x]]/$B$1^INT(RIGHT(t_B3n4[[#Headers],[b0]],1))),$B$1)</f>
        <v>1</v>
      </c>
      <c r="I81" s="16"/>
      <c r="J81" s="16"/>
    </row>
    <row r="82" spans="1:10" x14ac:dyDescent="0.25">
      <c r="A82" s="139">
        <v>77</v>
      </c>
      <c r="B82" s="139">
        <f>ROUNDUP(t_B3n4_Fixed[[#This Row],[Row]]-$B$3,0)</f>
        <v>37</v>
      </c>
      <c r="C82" s="12">
        <f>t_B3n4[[#This Row],[x]]-D81</f>
        <v>1</v>
      </c>
      <c r="D82" s="1">
        <v>77</v>
      </c>
      <c r="E82" s="55">
        <f>MOD(INT(t_B3n4[[#This Row],[x]]/$B$1^INT(RIGHT(t_B3n4[[#Headers],[b3]],1))),$B$1)</f>
        <v>2</v>
      </c>
      <c r="F82" s="54">
        <f>MOD(INT(t_B3n4[[#This Row],[x]]/$B$1^INT(RIGHT(t_B3n4[[#Headers],[b2]],1))),$B$1)</f>
        <v>2</v>
      </c>
      <c r="G82" s="54">
        <f>MOD(INT(t_B3n4[[#This Row],[x]]/$B$1^INT(RIGHT(t_B3n4[[#Headers],[b1]],1))),$B$1)</f>
        <v>1</v>
      </c>
      <c r="H82" s="55">
        <f>MOD(INT(t_B3n4[[#This Row],[x]]/$B$1^INT(RIGHT(t_B3n4[[#Headers],[b0]],1))),$B$1)</f>
        <v>2</v>
      </c>
      <c r="I82" s="16"/>
      <c r="J82" s="16"/>
    </row>
    <row r="83" spans="1:10" x14ac:dyDescent="0.25">
      <c r="A83" s="139">
        <v>78</v>
      </c>
      <c r="B83" s="139">
        <f>ROUNDUP(t_B3n4_Fixed[[#This Row],[Row]]-$B$3,0)</f>
        <v>38</v>
      </c>
      <c r="C83" s="12">
        <f>t_B3n4[[#This Row],[x]]-D82</f>
        <v>1</v>
      </c>
      <c r="D83" s="1">
        <v>78</v>
      </c>
      <c r="E83" s="39">
        <f>MOD(INT(t_B3n4[[#This Row],[x]]/$B$1^INT(RIGHT(t_B3n4[[#Headers],[b3]],1))),$B$1)</f>
        <v>2</v>
      </c>
      <c r="F83" s="38">
        <f>MOD(INT(t_B3n4[[#This Row],[x]]/$B$1^INT(RIGHT(t_B3n4[[#Headers],[b2]],1))),$B$1)</f>
        <v>2</v>
      </c>
      <c r="G83" s="38">
        <f>MOD(INT(t_B3n4[[#This Row],[x]]/$B$1^INT(RIGHT(t_B3n4[[#Headers],[b1]],1))),$B$1)</f>
        <v>2</v>
      </c>
      <c r="H83" s="39">
        <f>MOD(INT(t_B3n4[[#This Row],[x]]/$B$1^INT(RIGHT(t_B3n4[[#Headers],[b0]],1))),$B$1)</f>
        <v>0</v>
      </c>
      <c r="I83" s="16"/>
    </row>
    <row r="84" spans="1:10" x14ac:dyDescent="0.25">
      <c r="A84" s="139">
        <v>79</v>
      </c>
      <c r="B84" s="139">
        <f>ROUNDUP(t_B3n4_Fixed[[#This Row],[Row]]-$B$3,0)</f>
        <v>39</v>
      </c>
      <c r="C84" s="12">
        <f>t_B3n4[[#This Row],[x]]-D83</f>
        <v>1</v>
      </c>
      <c r="D84" s="1">
        <v>79</v>
      </c>
      <c r="E84" s="55">
        <f>MOD(INT(t_B3n4[[#This Row],[x]]/$B$1^INT(RIGHT(t_B3n4[[#Headers],[b3]],1))),$B$1)</f>
        <v>2</v>
      </c>
      <c r="F84" s="54">
        <f>MOD(INT(t_B3n4[[#This Row],[x]]/$B$1^INT(RIGHT(t_B3n4[[#Headers],[b2]],1))),$B$1)</f>
        <v>2</v>
      </c>
      <c r="G84" s="54">
        <f>MOD(INT(t_B3n4[[#This Row],[x]]/$B$1^INT(RIGHT(t_B3n4[[#Headers],[b1]],1))),$B$1)</f>
        <v>2</v>
      </c>
      <c r="H84" s="55">
        <f>MOD(INT(t_B3n4[[#This Row],[x]]/$B$1^INT(RIGHT(t_B3n4[[#Headers],[b0]],1))),$B$1)</f>
        <v>1</v>
      </c>
      <c r="I84" s="16"/>
    </row>
    <row r="85" spans="1:10" x14ac:dyDescent="0.25">
      <c r="A85" s="139">
        <v>80</v>
      </c>
      <c r="B85" s="139">
        <f>ROUNDUP(t_B3n4_Fixed[[#This Row],[Row]]-$B$3,0)</f>
        <v>40</v>
      </c>
      <c r="C85" s="12">
        <f>t_B3n4[[#This Row],[x]]-D84</f>
        <v>1</v>
      </c>
      <c r="D85" s="1">
        <v>80</v>
      </c>
      <c r="E85" s="76">
        <f>MOD(INT(t_B3n4[[#This Row],[x]]/$B$1^INT(RIGHT(t_B3n4[[#Headers],[b3]],1))),$B$1)</f>
        <v>2</v>
      </c>
      <c r="F85" s="75">
        <f>MOD(INT(t_B3n4[[#This Row],[x]]/$B$1^INT(RIGHT(t_B3n4[[#Headers],[b2]],1))),$B$1)</f>
        <v>2</v>
      </c>
      <c r="G85" s="75">
        <f>MOD(INT(t_B3n4[[#This Row],[x]]/$B$1^INT(RIGHT(t_B3n4[[#Headers],[b1]],1))),$B$1)</f>
        <v>2</v>
      </c>
      <c r="H85" s="76">
        <f>MOD(INT(t_B3n4[[#This Row],[x]]/$B$1^INT(RIGHT(t_B3n4[[#Headers],[b0]],1))),$B$1)</f>
        <v>2</v>
      </c>
      <c r="I85" s="16"/>
    </row>
    <row r="86" spans="1:10" x14ac:dyDescent="0.25">
      <c r="A86" s="197" t="s">
        <v>1</v>
      </c>
      <c r="B86" s="139"/>
      <c r="C86">
        <f>SUBTOTAL(109,t_B3n4_Fixed[Interval])</f>
        <v>80</v>
      </c>
      <c r="D86" t="s">
        <v>1</v>
      </c>
      <c r="E86">
        <f>SUBTOTAL(109,t_B3n4[b3])</f>
        <v>81</v>
      </c>
      <c r="F86">
        <f>SUBTOTAL(109,t_B3n4[b2])</f>
        <v>81</v>
      </c>
      <c r="G86">
        <f>SUBTOTAL(109,t_B3n4[b1])</f>
        <v>81</v>
      </c>
      <c r="H86">
        <f>SUBTOTAL(109,t_B3n4[b0])</f>
        <v>81</v>
      </c>
      <c r="I86" s="16"/>
    </row>
    <row r="87" spans="1:10" x14ac:dyDescent="0.25">
      <c r="H87" s="16"/>
    </row>
    <row r="88" spans="1:10" x14ac:dyDescent="0.25">
      <c r="H88" s="16"/>
    </row>
    <row r="89" spans="1:10" x14ac:dyDescent="0.25">
      <c r="H89" s="16"/>
    </row>
    <row r="90" spans="1:10" x14ac:dyDescent="0.25">
      <c r="H90" s="16"/>
    </row>
    <row r="91" spans="1:10" x14ac:dyDescent="0.25">
      <c r="H91" s="16"/>
    </row>
    <row r="92" spans="1:10" x14ac:dyDescent="0.25">
      <c r="H92" s="16"/>
    </row>
    <row r="93" spans="1:10" x14ac:dyDescent="0.25">
      <c r="H93" s="16"/>
    </row>
    <row r="94" spans="1:10" x14ac:dyDescent="0.25">
      <c r="H94" s="16"/>
    </row>
    <row r="95" spans="1:10" x14ac:dyDescent="0.25">
      <c r="H95" s="16"/>
    </row>
  </sheetData>
  <phoneticPr fontId="22" type="noConversion"/>
  <pageMargins left="0.7" right="0.7" top="0.75" bottom="0.75" header="0.3" footer="0.3"/>
  <pageSetup paperSize="9" orientation="portrait" horizontalDpi="1200" verticalDpi="1200" r:id="rId1"/>
  <tableParts count="2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133"/>
  <sheetViews>
    <sheetView zoomScaleNormal="100" workbookViewId="0">
      <pane ySplit="4" topLeftCell="A5" activePane="bottomLeft" state="frozen"/>
      <selection pane="bottomLeft"/>
    </sheetView>
  </sheetViews>
  <sheetFormatPr defaultRowHeight="15" x14ac:dyDescent="0.25"/>
  <cols>
    <col min="1" max="1" width="9.5703125" style="17" bestFit="1" customWidth="1"/>
    <col min="2" max="2" width="5.5703125" style="17" bestFit="1" customWidth="1"/>
    <col min="3" max="3" width="3.7109375" style="17" bestFit="1" customWidth="1"/>
    <col min="4" max="4" width="5.7109375" style="17" bestFit="1" customWidth="1"/>
    <col min="5" max="6" width="5.140625" style="17" bestFit="1" customWidth="1"/>
    <col min="7" max="7" width="7.85546875" style="17" bestFit="1" customWidth="1"/>
    <col min="8" max="8" width="7.85546875" style="17" customWidth="1"/>
    <col min="9" max="9" width="27.7109375" style="17" bestFit="1" customWidth="1"/>
    <col min="10" max="10" width="4.140625" style="17" bestFit="1" customWidth="1"/>
    <col min="11" max="11" width="3" style="17" bestFit="1" customWidth="1"/>
    <col min="12" max="16" width="3.85546875" style="17" bestFit="1" customWidth="1"/>
    <col min="17" max="17" width="2.5703125" style="17" bestFit="1" customWidth="1"/>
    <col min="18" max="18" width="3.7109375" style="17" bestFit="1" customWidth="1"/>
    <col min="19" max="19" width="6" style="17" customWidth="1"/>
    <col min="20" max="20" width="4.85546875" style="17" bestFit="1" customWidth="1"/>
    <col min="21" max="21" width="7.7109375" style="17" bestFit="1" customWidth="1"/>
    <col min="22" max="22" width="7.85546875" style="17" customWidth="1"/>
    <col min="23" max="23" width="9.140625" style="17"/>
    <col min="24" max="24" width="3.7109375" style="17" bestFit="1" customWidth="1"/>
    <col min="25" max="25" width="6" style="17" customWidth="1"/>
    <col min="26" max="26" width="4.85546875" style="17" bestFit="1" customWidth="1"/>
    <col min="27" max="27" width="7.7109375" style="17" bestFit="1" customWidth="1"/>
    <col min="28" max="28" width="7.85546875" style="17" customWidth="1"/>
    <col min="29" max="29" width="9.140625" style="17"/>
    <col min="30" max="30" width="3.7109375" style="17" bestFit="1" customWidth="1"/>
    <col min="31" max="31" width="6" style="17" bestFit="1" customWidth="1"/>
    <col min="32" max="32" width="4.85546875" style="17" bestFit="1" customWidth="1"/>
    <col min="33" max="33" width="7.7109375" style="17" bestFit="1" customWidth="1"/>
    <col min="34" max="34" width="7.85546875" style="17" bestFit="1" customWidth="1"/>
    <col min="35" max="35" width="9.140625" style="17"/>
    <col min="36" max="36" width="3.7109375" style="17" bestFit="1" customWidth="1"/>
    <col min="37" max="37" width="6" style="17" bestFit="1" customWidth="1"/>
    <col min="38" max="39" width="4.85546875" style="17" bestFit="1" customWidth="1"/>
    <col min="40" max="40" width="7.7109375" style="17" bestFit="1" customWidth="1"/>
    <col min="41" max="41" width="7.85546875" style="17" bestFit="1" customWidth="1"/>
    <col min="42" max="42" width="9.140625" style="17"/>
    <col min="43" max="43" width="3.7109375" style="17" bestFit="1" customWidth="1"/>
    <col min="44" max="44" width="6" style="17" bestFit="1" customWidth="1"/>
    <col min="45" max="45" width="4.85546875" style="17" bestFit="1" customWidth="1"/>
    <col min="46" max="46" width="7.7109375" style="17" bestFit="1" customWidth="1"/>
    <col min="47" max="47" width="7.85546875" style="17" customWidth="1"/>
    <col min="48" max="48" width="9.140625" style="17"/>
    <col min="49" max="49" width="3.7109375" style="17" bestFit="1" customWidth="1"/>
    <col min="50" max="50" width="6" style="17" bestFit="1" customWidth="1"/>
    <col min="51" max="51" width="4.85546875" style="17" bestFit="1" customWidth="1"/>
    <col min="52" max="52" width="7.7109375" style="17" bestFit="1" customWidth="1"/>
    <col min="53" max="53" width="7.85546875" style="17" customWidth="1"/>
    <col min="54" max="16384" width="9.140625" style="17"/>
  </cols>
  <sheetData>
    <row r="1" spans="1:53" ht="18.75" x14ac:dyDescent="0.3">
      <c r="A1" s="202" t="s">
        <v>2</v>
      </c>
      <c r="B1" s="203">
        <v>4</v>
      </c>
      <c r="F1" s="16"/>
      <c r="G1" s="16"/>
    </row>
    <row r="2" spans="1:53" ht="18.75" x14ac:dyDescent="0.3">
      <c r="A2" s="202" t="s">
        <v>4</v>
      </c>
      <c r="B2" s="203">
        <v>2</v>
      </c>
      <c r="F2" s="16"/>
      <c r="G2" s="16"/>
    </row>
    <row r="3" spans="1:53" ht="18.75" x14ac:dyDescent="0.3">
      <c r="A3" s="202" t="s">
        <v>0</v>
      </c>
      <c r="B3" s="203">
        <f>(B1^B2 - 1)/2</f>
        <v>7.5</v>
      </c>
    </row>
    <row r="4" spans="1:53" ht="51.75" thickBot="1" x14ac:dyDescent="0.3">
      <c r="A4" s="119" t="s">
        <v>25</v>
      </c>
      <c r="B4" s="119" t="s">
        <v>26</v>
      </c>
      <c r="C4" s="120" t="s">
        <v>28</v>
      </c>
      <c r="D4" s="208" t="s">
        <v>27</v>
      </c>
      <c r="E4" s="121" t="s">
        <v>8</v>
      </c>
      <c r="F4" s="121" t="s">
        <v>7</v>
      </c>
      <c r="R4" s="120" t="s">
        <v>28</v>
      </c>
      <c r="S4" s="322" t="s">
        <v>26</v>
      </c>
      <c r="T4" s="323" t="s">
        <v>539</v>
      </c>
      <c r="U4" s="324" t="s">
        <v>537</v>
      </c>
      <c r="X4" s="120" t="s">
        <v>28</v>
      </c>
      <c r="Y4" s="322" t="s">
        <v>26</v>
      </c>
      <c r="Z4" s="323" t="s">
        <v>539</v>
      </c>
      <c r="AA4" s="324" t="s">
        <v>537</v>
      </c>
      <c r="AD4" s="120" t="s">
        <v>28</v>
      </c>
      <c r="AE4" s="120" t="s">
        <v>26</v>
      </c>
      <c r="AF4" s="254" t="s">
        <v>539</v>
      </c>
      <c r="AG4" s="120" t="s">
        <v>537</v>
      </c>
      <c r="AJ4" s="120" t="s">
        <v>28</v>
      </c>
      <c r="AK4" s="120" t="s">
        <v>26</v>
      </c>
      <c r="AL4" s="254" t="s">
        <v>538</v>
      </c>
      <c r="AM4" s="254" t="s">
        <v>539</v>
      </c>
      <c r="AN4" s="120" t="s">
        <v>537</v>
      </c>
      <c r="AQ4" s="120" t="s">
        <v>28</v>
      </c>
      <c r="AR4" s="120" t="s">
        <v>26</v>
      </c>
      <c r="AS4" s="254" t="s">
        <v>539</v>
      </c>
      <c r="AT4" s="120" t="s">
        <v>537</v>
      </c>
      <c r="AW4" s="120" t="s">
        <v>28</v>
      </c>
      <c r="AX4" s="120" t="s">
        <v>26</v>
      </c>
      <c r="AY4" s="254" t="s">
        <v>539</v>
      </c>
      <c r="AZ4" s="120" t="s">
        <v>537</v>
      </c>
    </row>
    <row r="5" spans="1:53" ht="16.5" thickTop="1" thickBot="1" x14ac:dyDescent="0.3">
      <c r="A5" s="9">
        <v>0</v>
      </c>
      <c r="B5" s="9">
        <f>ROUNDUP(t_B4n2_Fixed[[#This Row],[Row]]-$B$3,0)</f>
        <v>-8</v>
      </c>
      <c r="C5" s="12"/>
      <c r="D5" s="9">
        <v>0</v>
      </c>
      <c r="E5" s="15">
        <f>MOD(INT(t_B4n2[[#This Row],[x]]/$B$1^INT(RIGHT(t_B4n2[[#Headers],[b1]],1))),$B$1)</f>
        <v>0</v>
      </c>
      <c r="F5" s="15">
        <f>MOD(INT(t_B4n2[[#This Row],[x]]/$B$1^INT(RIGHT(t_B4n2[[#Headers],[b0]],1))),$B$1)</f>
        <v>0</v>
      </c>
      <c r="G5" s="16"/>
      <c r="H5" s="10"/>
      <c r="R5" s="139"/>
      <c r="S5" s="320">
        <f>INDEX(t_B4n2_Fixed[Offset],MATCH($A$5,t_B4n2[x],0),1)</f>
        <v>-8</v>
      </c>
      <c r="T5" s="314">
        <v>0</v>
      </c>
      <c r="U5" s="342" t="s">
        <v>30</v>
      </c>
      <c r="V5" s="27" t="s">
        <v>0</v>
      </c>
      <c r="X5" s="139"/>
      <c r="Y5" s="320">
        <f>INDEX(t_B4n2_Fixed[Offset],MATCH($A$10,t_B4n2[x],0),1)</f>
        <v>-3</v>
      </c>
      <c r="Z5" s="314">
        <v>5</v>
      </c>
      <c r="AA5" s="349" t="s">
        <v>293</v>
      </c>
      <c r="AB5" s="27" t="s">
        <v>0</v>
      </c>
      <c r="AD5" s="139"/>
      <c r="AE5" s="139">
        <f>INDEX(t_B4n2_Fixed[Offset],MATCH($A$6,t_B4n2[x],0),1)</f>
        <v>-7</v>
      </c>
      <c r="AF5" s="139">
        <v>1</v>
      </c>
      <c r="AG5" s="255" t="s">
        <v>289</v>
      </c>
      <c r="AJ5" s="139"/>
      <c r="AK5" s="139">
        <f>INDEX(t_B4n2_Fixed[Offset],MATCH($A$7,t_B4n2[x],0),1)</f>
        <v>-6</v>
      </c>
      <c r="AL5" s="139">
        <v>0</v>
      </c>
      <c r="AM5" s="139">
        <v>2</v>
      </c>
      <c r="AN5" s="274" t="s">
        <v>290</v>
      </c>
      <c r="AQ5" s="139"/>
      <c r="AR5" s="6">
        <f>INDEX(t_B4n2_Fixed[Offset],MATCH($A$8,t_B4n2[x],0),1)</f>
        <v>-5</v>
      </c>
      <c r="AS5" s="6">
        <v>3</v>
      </c>
      <c r="AT5" s="298" t="s">
        <v>291</v>
      </c>
      <c r="AU5" s="27" t="s">
        <v>0</v>
      </c>
      <c r="AW5" s="139"/>
      <c r="AX5" s="6">
        <f>INDEX(t_B4n2_Fixed[Offset],MATCH($A$11,t_B4n2[x],0),1)</f>
        <v>-2</v>
      </c>
      <c r="AY5" s="6">
        <v>6</v>
      </c>
      <c r="AZ5" s="307" t="s">
        <v>294</v>
      </c>
      <c r="BA5" s="27" t="s">
        <v>0</v>
      </c>
    </row>
    <row r="6" spans="1:53" ht="15.75" thickBot="1" x14ac:dyDescent="0.3">
      <c r="A6" s="9">
        <v>1</v>
      </c>
      <c r="B6" s="9">
        <f>ROUNDUP(t_B4n2_Fixed[[#This Row],[Row]]-$B$3,0)</f>
        <v>-7</v>
      </c>
      <c r="C6" s="12">
        <f>t_B4n2[[#This Row],[x]]-D5</f>
        <v>1</v>
      </c>
      <c r="D6" s="9">
        <v>1</v>
      </c>
      <c r="E6" s="42">
        <f>MOD(INT(t_B4n2[[#This Row],[x]]/$B$1^INT(RIGHT(t_B4n2[[#Headers],[b1]],1))),$B$1)</f>
        <v>0</v>
      </c>
      <c r="F6" s="43">
        <f>MOD(INT(t_B4n2[[#This Row],[x]]/$B$1^INT(RIGHT(t_B4n2[[#Headers],[b0]],1))),$B$1)</f>
        <v>1</v>
      </c>
      <c r="G6" s="16"/>
      <c r="H6" s="123"/>
      <c r="I6" s="34" t="s">
        <v>21</v>
      </c>
      <c r="J6" s="35" t="s">
        <v>5</v>
      </c>
      <c r="R6" s="139">
        <f>t_B4n2_AB1[[#This Row],[Offset]]-S5</f>
        <v>16</v>
      </c>
      <c r="S6" s="325">
        <f>INDEX(t_B4n2_Fixed[Offset],MATCH($A$20,t_B4n2[x],0),1)</f>
        <v>8</v>
      </c>
      <c r="T6" s="317">
        <v>15</v>
      </c>
      <c r="U6" s="344" t="s">
        <v>303</v>
      </c>
      <c r="X6" s="139">
        <f>t_B4n2_AB2[[#This Row],[Offset]]-Y5</f>
        <v>6</v>
      </c>
      <c r="Y6" s="325">
        <f>INDEX(t_B4n2_Fixed[Offset],MATCH($A$15,t_B4n2[x],0),1)</f>
        <v>3</v>
      </c>
      <c r="Z6" s="317">
        <v>10</v>
      </c>
      <c r="AA6" s="350" t="s">
        <v>298</v>
      </c>
      <c r="AD6" s="139">
        <f>t_B4n2_AB3[[#This Row],[Offset]]-AE5</f>
        <v>3</v>
      </c>
      <c r="AE6" s="6">
        <f>INDEX(t_B4n2_Fixed[Offset],MATCH($A$9,t_B4n2[x],0),1)</f>
        <v>-4</v>
      </c>
      <c r="AF6" s="6">
        <v>4</v>
      </c>
      <c r="AG6" s="295" t="s">
        <v>292</v>
      </c>
      <c r="AH6" s="25" t="s">
        <v>0</v>
      </c>
      <c r="AJ6" s="139">
        <f>t_B4n2_AB4[[#This Row],[Offset]]-AK5</f>
        <v>5</v>
      </c>
      <c r="AK6" s="6">
        <f>INDEX(t_B4n2_Fixed[Offset],MATCH($A$12,t_B4n2[x],0),1)</f>
        <v>-1</v>
      </c>
      <c r="AL6" s="6">
        <v>2</v>
      </c>
      <c r="AM6" s="6">
        <v>7</v>
      </c>
      <c r="AN6" s="311" t="s">
        <v>295</v>
      </c>
      <c r="AO6" s="25" t="s">
        <v>0</v>
      </c>
      <c r="AQ6" s="139">
        <f>t_B4n2_S1[[#This Row],[Offset]]-AR5</f>
        <v>10</v>
      </c>
      <c r="AR6" s="139">
        <f>INDEX(t_B4n2_Fixed[Offset],MATCH($A$17,t_B4n2[x],0),1)</f>
        <v>5</v>
      </c>
      <c r="AS6" s="139">
        <v>12</v>
      </c>
      <c r="AT6" s="276" t="s">
        <v>300</v>
      </c>
      <c r="AW6" s="139">
        <f>t_B4n2_S2[[#This Row],[Offset]]-AX5</f>
        <v>4</v>
      </c>
      <c r="AX6" s="139">
        <f>INDEX(t_B4n2_Fixed[Offset],MATCH($A$14,t_B4n2[x],0),1)</f>
        <v>2</v>
      </c>
      <c r="AY6" s="139">
        <v>9</v>
      </c>
      <c r="AZ6" s="278" t="s">
        <v>297</v>
      </c>
    </row>
    <row r="7" spans="1:53" x14ac:dyDescent="0.25">
      <c r="A7" s="9">
        <v>2</v>
      </c>
      <c r="B7" s="9">
        <f>ROUNDUP(t_B4n2_Fixed[[#This Row],[Row]]-$B$3,0)</f>
        <v>-6</v>
      </c>
      <c r="C7" s="12">
        <f>t_B4n2[[#This Row],[x]]-D6</f>
        <v>1</v>
      </c>
      <c r="D7" s="9">
        <v>2</v>
      </c>
      <c r="E7" s="44">
        <f>MOD(INT(t_B4n2[[#This Row],[x]]/$B$1^INT(RIGHT(t_B4n2[[#Headers],[b1]],1))),$B$1)</f>
        <v>0</v>
      </c>
      <c r="F7" s="45">
        <f>MOD(INT(t_B4n2[[#This Row],[x]]/$B$1^INT(RIGHT(t_B4n2[[#Headers],[b0]],1))),$B$1)</f>
        <v>2</v>
      </c>
      <c r="G7" s="16"/>
      <c r="H7" s="123"/>
      <c r="I7" s="32" t="s">
        <v>13</v>
      </c>
      <c r="J7" s="33">
        <v>2</v>
      </c>
      <c r="L7" s="89" t="s">
        <v>33</v>
      </c>
      <c r="M7" s="107" t="s">
        <v>34</v>
      </c>
      <c r="O7" s="93" t="s">
        <v>36</v>
      </c>
      <c r="P7" s="183" t="s">
        <v>37</v>
      </c>
      <c r="AD7" s="139">
        <f>t_B4n2_AB3[[#This Row],[Offset]]-AE6</f>
        <v>8</v>
      </c>
      <c r="AE7" s="139">
        <f>INDEX(t_B4n2_Fixed[Offset],MATCH($A$16,t_B4n2[x],0),1)</f>
        <v>4</v>
      </c>
      <c r="AF7" s="139">
        <v>11</v>
      </c>
      <c r="AG7" s="273" t="s">
        <v>299</v>
      </c>
      <c r="AJ7" s="139">
        <f>t_B4n2_AB4[[#This Row],[Offset]]-AK6</f>
        <v>2</v>
      </c>
      <c r="AK7" s="139">
        <f>INDEX(t_B4n2_Fixed[Offset],MATCH($A$13,t_B4n2[x],0),1)</f>
        <v>1</v>
      </c>
      <c r="AL7" s="139">
        <v>1</v>
      </c>
      <c r="AM7" s="139">
        <v>8</v>
      </c>
      <c r="AN7" s="274" t="s">
        <v>296</v>
      </c>
    </row>
    <row r="8" spans="1:53" x14ac:dyDescent="0.25">
      <c r="A8" s="9">
        <v>3</v>
      </c>
      <c r="B8" s="9">
        <f>ROUNDUP(t_B4n2_Fixed[[#This Row],[Row]]-$B$3,0)</f>
        <v>-5</v>
      </c>
      <c r="C8" s="12">
        <f>t_B4n2[[#This Row],[x]]-D7</f>
        <v>1</v>
      </c>
      <c r="D8" s="9">
        <v>3</v>
      </c>
      <c r="E8" s="85">
        <f>MOD(INT(t_B4n2[[#This Row],[x]]/$B$1^INT(RIGHT(t_B4n2[[#Headers],[b1]],1))),$B$1)</f>
        <v>0</v>
      </c>
      <c r="F8" s="86">
        <f>MOD(INT(t_B4n2[[#This Row],[x]]/$B$1^INT(RIGHT(t_B4n2[[#Headers],[b0]],1))),$B$1)</f>
        <v>3</v>
      </c>
      <c r="G8" s="16"/>
      <c r="H8" s="29"/>
      <c r="I8" s="30" t="s">
        <v>20</v>
      </c>
      <c r="J8" s="31">
        <v>2</v>
      </c>
      <c r="L8" s="90" t="s">
        <v>39</v>
      </c>
      <c r="M8" s="96" t="s">
        <v>40</v>
      </c>
      <c r="O8" s="91" t="s">
        <v>41</v>
      </c>
      <c r="P8" s="97" t="s">
        <v>42</v>
      </c>
      <c r="AD8" s="139">
        <f>t_B4n2_AB3[[#This Row],[Offset]]-AE7</f>
        <v>3</v>
      </c>
      <c r="AE8" s="139">
        <f>INDEX(t_B4n2_Fixed[Offset],MATCH($A$19,t_B4n2[x],0),1)</f>
        <v>7</v>
      </c>
      <c r="AF8" s="139">
        <v>14</v>
      </c>
      <c r="AG8" s="273" t="s">
        <v>302</v>
      </c>
      <c r="AJ8" s="139">
        <f>t_B4n2_AB4[[#This Row],[Offset]]-AK7</f>
        <v>5</v>
      </c>
      <c r="AK8" s="139">
        <f>INDEX(t_B4n2_Fixed[Offset],MATCH($A$18,t_B4n2[x],0),1)</f>
        <v>6</v>
      </c>
      <c r="AL8" s="139">
        <v>3</v>
      </c>
      <c r="AM8" s="139">
        <v>13</v>
      </c>
      <c r="AN8" s="275" t="s">
        <v>301</v>
      </c>
    </row>
    <row r="9" spans="1:53" ht="15.75" thickBot="1" x14ac:dyDescent="0.3">
      <c r="A9" s="9">
        <v>4</v>
      </c>
      <c r="B9" s="9">
        <f>ROUNDUP(t_B4n2_Fixed[[#This Row],[Row]]-$B$3,0)</f>
        <v>-4</v>
      </c>
      <c r="C9" s="12">
        <f>t_B4n2[[#This Row],[x]]-D8</f>
        <v>1</v>
      </c>
      <c r="D9" s="9">
        <v>4</v>
      </c>
      <c r="E9" s="42">
        <f>MOD(INT(t_B4n2[[#This Row],[x]]/$B$1^INT(RIGHT(t_B4n2[[#Headers],[b1]],1))),$B$1)</f>
        <v>1</v>
      </c>
      <c r="F9" s="43">
        <f>MOD(INT(t_B4n2[[#This Row],[x]]/$B$1^INT(RIGHT(t_B4n2[[#Headers],[b0]],1))),$B$1)</f>
        <v>0</v>
      </c>
      <c r="G9" s="16"/>
      <c r="H9" s="123"/>
      <c r="I9" s="36" t="s">
        <v>23</v>
      </c>
      <c r="J9" s="37">
        <v>2</v>
      </c>
      <c r="L9" s="92" t="s">
        <v>35</v>
      </c>
      <c r="N9" s="99" t="s">
        <v>38</v>
      </c>
    </row>
    <row r="10" spans="1:53" x14ac:dyDescent="0.25">
      <c r="A10" s="9">
        <v>5</v>
      </c>
      <c r="B10" s="9">
        <f>ROUNDUP(t_B4n2_Fixed[[#This Row],[Row]]-$B$3,0)</f>
        <v>-3</v>
      </c>
      <c r="C10" s="12">
        <f>t_B4n2[[#This Row],[x]]-D9</f>
        <v>1</v>
      </c>
      <c r="D10" s="9">
        <v>5</v>
      </c>
      <c r="E10" s="87">
        <f>MOD(INT(t_B4n2[[#This Row],[x]]/$B$1^INT(RIGHT(t_B4n2[[#Headers],[b1]],1))),$B$1)</f>
        <v>1</v>
      </c>
      <c r="F10" s="88">
        <f>MOD(INT(t_B4n2[[#This Row],[x]]/$B$1^INT(RIGHT(t_B4n2[[#Headers],[b0]],1))),$B$1)</f>
        <v>1</v>
      </c>
      <c r="G10" s="16"/>
      <c r="H10" s="29"/>
      <c r="I10" s="113" t="s">
        <v>15</v>
      </c>
      <c r="J10" s="114">
        <f>SUM(J7:J9)</f>
        <v>6</v>
      </c>
    </row>
    <row r="11" spans="1:53" ht="15.75" thickBot="1" x14ac:dyDescent="0.3">
      <c r="A11" s="9">
        <v>6</v>
      </c>
      <c r="B11" s="9">
        <f>ROUNDUP(t_B4n2_Fixed[[#This Row],[Row]]-$B$3,0)</f>
        <v>-2</v>
      </c>
      <c r="C11" s="12">
        <f>t_B4n2[[#This Row],[x]]-D10</f>
        <v>1</v>
      </c>
      <c r="D11" s="9">
        <v>6</v>
      </c>
      <c r="E11" s="60">
        <f>MOD(INT(t_B4n2[[#This Row],[x]]/$B$1^INT(RIGHT(t_B4n2[[#Headers],[b1]],1))),$B$1)</f>
        <v>1</v>
      </c>
      <c r="F11" s="61">
        <f>MOD(INT(t_B4n2[[#This Row],[x]]/$B$1^INT(RIGHT(t_B4n2[[#Headers],[b0]],1))),$B$1)</f>
        <v>2</v>
      </c>
      <c r="G11" s="16"/>
      <c r="H11" s="123"/>
      <c r="I11" s="115" t="s">
        <v>16</v>
      </c>
      <c r="J11" s="116">
        <v>10</v>
      </c>
    </row>
    <row r="12" spans="1:53" ht="15.75" thickBot="1" x14ac:dyDescent="0.3">
      <c r="A12" s="6">
        <v>7</v>
      </c>
      <c r="B12" s="6">
        <f>ROUNDUP(t_B4n2_Fixed[[#This Row],[Row]]-$B$3,0)</f>
        <v>-1</v>
      </c>
      <c r="C12" s="7">
        <f>t_B4n2[[#This Row],[x]]-D11</f>
        <v>1</v>
      </c>
      <c r="D12" s="6">
        <v>7</v>
      </c>
      <c r="E12" s="58">
        <f>MOD(INT(t_B4n2[[#This Row],[x]]/$B$1^INT(RIGHT(t_B4n2[[#Headers],[b1]],1))),$B$1)</f>
        <v>1</v>
      </c>
      <c r="F12" s="59">
        <f>MOD(INT(t_B4n2[[#This Row],[x]]/$B$1^INT(RIGHT(t_B4n2[[#Headers],[b0]],1))),$B$1)</f>
        <v>3</v>
      </c>
      <c r="G12" s="25" t="s">
        <v>0</v>
      </c>
      <c r="H12" s="14"/>
    </row>
    <row r="13" spans="1:53" x14ac:dyDescent="0.25">
      <c r="A13" s="9">
        <v>8</v>
      </c>
      <c r="B13" s="9">
        <f>ROUNDUP(t_B4n2_Fixed[[#This Row],[Row]]-$B$3,0)</f>
        <v>1</v>
      </c>
      <c r="C13" s="12">
        <f>t_B4n2[[#This Row],[x]]-D12</f>
        <v>1</v>
      </c>
      <c r="D13" s="9">
        <v>8</v>
      </c>
      <c r="E13" s="44">
        <f>MOD(INT(t_B4n2[[#This Row],[x]]/$B$1^INT(RIGHT(t_B4n2[[#Headers],[b1]],1))),$B$1)</f>
        <v>2</v>
      </c>
      <c r="F13" s="45">
        <f>MOD(INT(t_B4n2[[#This Row],[x]]/$B$1^INT(RIGHT(t_B4n2[[#Headers],[b0]],1))),$B$1)</f>
        <v>0</v>
      </c>
      <c r="G13" s="16"/>
      <c r="H13" s="123"/>
    </row>
    <row r="14" spans="1:53" x14ac:dyDescent="0.25">
      <c r="A14" s="9">
        <v>9</v>
      </c>
      <c r="B14" s="9">
        <f>ROUNDUP(t_B4n2_Fixed[[#This Row],[Row]]-$B$3,0)</f>
        <v>2</v>
      </c>
      <c r="C14" s="12">
        <f>t_B4n2[[#This Row],[x]]-D13</f>
        <v>1</v>
      </c>
      <c r="D14" s="9">
        <v>9</v>
      </c>
      <c r="E14" s="60">
        <f>MOD(INT(t_B4n2[[#This Row],[x]]/$B$1^INT(RIGHT(t_B4n2[[#Headers],[b1]],1))),$B$1)</f>
        <v>2</v>
      </c>
      <c r="F14" s="61">
        <f>MOD(INT(t_B4n2[[#This Row],[x]]/$B$1^INT(RIGHT(t_B4n2[[#Headers],[b0]],1))),$B$1)</f>
        <v>1</v>
      </c>
      <c r="G14" s="16"/>
      <c r="H14" s="123"/>
    </row>
    <row r="15" spans="1:53" x14ac:dyDescent="0.25">
      <c r="A15" s="9">
        <v>10</v>
      </c>
      <c r="B15" s="9">
        <f>ROUNDUP(t_B4n2_Fixed[[#This Row],[Row]]-$B$3,0)</f>
        <v>3</v>
      </c>
      <c r="C15" s="12">
        <f>t_B4n2[[#This Row],[x]]-D14</f>
        <v>1</v>
      </c>
      <c r="D15" s="9">
        <v>10</v>
      </c>
      <c r="E15" s="192">
        <f>MOD(INT(t_B4n2[[#This Row],[x]]/$B$1^INT(RIGHT(t_B4n2[[#Headers],[b1]],1))),$B$1)</f>
        <v>2</v>
      </c>
      <c r="F15" s="193">
        <f>MOD(INT(t_B4n2[[#This Row],[x]]/$B$1^INT(RIGHT(t_B4n2[[#Headers],[b0]],1))),$B$1)</f>
        <v>2</v>
      </c>
      <c r="G15" s="16"/>
      <c r="H15" s="29"/>
    </row>
    <row r="16" spans="1:53" x14ac:dyDescent="0.25">
      <c r="A16" s="9">
        <v>11</v>
      </c>
      <c r="B16" s="9">
        <f>ROUNDUP(t_B4n2_Fixed[[#This Row],[Row]]-$B$3,0)</f>
        <v>4</v>
      </c>
      <c r="C16" s="12">
        <f>t_B4n2[[#This Row],[x]]-D15</f>
        <v>1</v>
      </c>
      <c r="D16" s="9">
        <v>11</v>
      </c>
      <c r="E16" s="54">
        <f>MOD(INT(t_B4n2[[#This Row],[x]]/$B$1^INT(RIGHT(t_B4n2[[#Headers],[b1]],1))),$B$1)</f>
        <v>2</v>
      </c>
      <c r="F16" s="55">
        <f>MOD(INT(t_B4n2[[#This Row],[x]]/$B$1^INT(RIGHT(t_B4n2[[#Headers],[b0]],1))),$B$1)</f>
        <v>3</v>
      </c>
      <c r="G16" s="16"/>
      <c r="H16" s="123"/>
    </row>
    <row r="17" spans="1:8" x14ac:dyDescent="0.25">
      <c r="A17" s="9">
        <v>12</v>
      </c>
      <c r="B17" s="9">
        <f>ROUNDUP(t_B4n2_Fixed[[#This Row],[Row]]-$B$3,0)</f>
        <v>5</v>
      </c>
      <c r="C17" s="12">
        <f>t_B4n2[[#This Row],[x]]-D16</f>
        <v>1</v>
      </c>
      <c r="D17" s="9">
        <v>12</v>
      </c>
      <c r="E17" s="85">
        <f>MOD(INT(t_B4n2[[#This Row],[x]]/$B$1^INT(RIGHT(t_B4n2[[#Headers],[b1]],1))),$B$1)</f>
        <v>3</v>
      </c>
      <c r="F17" s="86">
        <f>MOD(INT(t_B4n2[[#This Row],[x]]/$B$1^INT(RIGHT(t_B4n2[[#Headers],[b0]],1))),$B$1)</f>
        <v>0</v>
      </c>
      <c r="G17" s="16"/>
      <c r="H17" s="29"/>
    </row>
    <row r="18" spans="1:8" x14ac:dyDescent="0.25">
      <c r="A18" s="9">
        <v>13</v>
      </c>
      <c r="B18" s="9">
        <f>ROUNDUP(t_B4n2_Fixed[[#This Row],[Row]]-$B$3,0)</f>
        <v>6</v>
      </c>
      <c r="C18" s="12">
        <f>t_B4n2[[#This Row],[x]]-D17</f>
        <v>1</v>
      </c>
      <c r="D18" s="138">
        <v>13</v>
      </c>
      <c r="E18" s="38">
        <f>MOD(INT(t_B4n2[[#This Row],[x]]/$B$1^INT(RIGHT(t_B4n2[[#Headers],[b1]],1))),$B$1)</f>
        <v>3</v>
      </c>
      <c r="F18" s="39">
        <f>MOD(INT(t_B4n2[[#This Row],[x]]/$B$1^INT(RIGHT(t_B4n2[[#Headers],[b0]],1))),$B$1)</f>
        <v>1</v>
      </c>
      <c r="G18" s="16"/>
      <c r="H18" s="29"/>
    </row>
    <row r="19" spans="1:8" x14ac:dyDescent="0.25">
      <c r="A19" s="9">
        <v>14</v>
      </c>
      <c r="B19" s="9">
        <f>ROUNDUP(t_B4n2_Fixed[[#This Row],[Row]]-$B$3,0)</f>
        <v>7</v>
      </c>
      <c r="C19" s="12">
        <f>t_B4n2[[#This Row],[x]]-D18</f>
        <v>1</v>
      </c>
      <c r="D19" s="9">
        <v>14</v>
      </c>
      <c r="E19" s="54">
        <f>MOD(INT(t_B4n2[[#This Row],[x]]/$B$1^INT(RIGHT(t_B4n2[[#Headers],[b1]],1))),$B$1)</f>
        <v>3</v>
      </c>
      <c r="F19" s="55">
        <f>MOD(INT(t_B4n2[[#This Row],[x]]/$B$1^INT(RIGHT(t_B4n2[[#Headers],[b0]],1))),$B$1)</f>
        <v>2</v>
      </c>
      <c r="G19" s="16"/>
      <c r="H19" s="123"/>
    </row>
    <row r="20" spans="1:8" x14ac:dyDescent="0.25">
      <c r="A20" s="9">
        <v>15</v>
      </c>
      <c r="B20" s="9">
        <f>ROUNDUP(t_B4n2_Fixed[[#This Row],[Row]]-$B$3,0)</f>
        <v>8</v>
      </c>
      <c r="C20" s="12">
        <f>t_B4n2[[#This Row],[x]]-D19</f>
        <v>1</v>
      </c>
      <c r="D20" s="9">
        <v>15</v>
      </c>
      <c r="E20" s="75">
        <f>MOD(INT(t_B4n2[[#This Row],[x]]/$B$1^INT(RIGHT(t_B4n2[[#Headers],[b1]],1))),$B$1)</f>
        <v>3</v>
      </c>
      <c r="F20" s="76">
        <f>MOD(INT(t_B4n2[[#This Row],[x]]/$B$1^INT(RIGHT(t_B4n2[[#Headers],[b0]],1))),$B$1)</f>
        <v>3</v>
      </c>
      <c r="G20" s="16"/>
      <c r="H20" s="123"/>
    </row>
    <row r="21" spans="1:8" x14ac:dyDescent="0.25">
      <c r="A21" s="198" t="s">
        <v>1</v>
      </c>
      <c r="B21" s="139"/>
      <c r="C21">
        <f>SUBTOTAL(109,t_B4n2_Fixed[Interval])</f>
        <v>15</v>
      </c>
      <c r="D21" s="17" t="s">
        <v>1</v>
      </c>
      <c r="E21" s="17">
        <f>SUBTOTAL(109,t_B4n2[b1])</f>
        <v>24</v>
      </c>
      <c r="F21" s="17">
        <f>SUBTOTAL(109,t_B4n2[b0])</f>
        <v>24</v>
      </c>
      <c r="G21" s="16"/>
      <c r="H21" s="2"/>
    </row>
    <row r="22" spans="1:8" x14ac:dyDescent="0.25">
      <c r="F22" s="16"/>
      <c r="G22" s="16"/>
    </row>
    <row r="23" spans="1:8" x14ac:dyDescent="0.25">
      <c r="F23" s="16"/>
      <c r="G23" s="16"/>
    </row>
    <row r="24" spans="1:8" x14ac:dyDescent="0.25">
      <c r="F24" s="16"/>
      <c r="G24" s="16"/>
    </row>
    <row r="25" spans="1:8" x14ac:dyDescent="0.25">
      <c r="F25" s="16"/>
      <c r="G25" s="16"/>
    </row>
    <row r="26" spans="1:8" x14ac:dyDescent="0.25">
      <c r="F26" s="16"/>
      <c r="G26" s="16"/>
    </row>
    <row r="27" spans="1:8" x14ac:dyDescent="0.25">
      <c r="F27" s="16"/>
      <c r="G27" s="16"/>
    </row>
    <row r="28" spans="1:8" x14ac:dyDescent="0.25">
      <c r="F28" s="16"/>
      <c r="G28" s="16"/>
    </row>
    <row r="29" spans="1:8" x14ac:dyDescent="0.25">
      <c r="F29" s="16"/>
      <c r="G29" s="16"/>
    </row>
    <row r="30" spans="1:8" x14ac:dyDescent="0.25">
      <c r="F30" s="16"/>
      <c r="G30" s="16"/>
    </row>
    <row r="31" spans="1:8" x14ac:dyDescent="0.25">
      <c r="F31" s="16"/>
      <c r="G31" s="16"/>
    </row>
    <row r="32" spans="1:8" x14ac:dyDescent="0.25">
      <c r="F32" s="16"/>
      <c r="G32" s="16"/>
    </row>
    <row r="33" spans="6:7" x14ac:dyDescent="0.25">
      <c r="F33" s="16"/>
      <c r="G33" s="16"/>
    </row>
    <row r="34" spans="6:7" x14ac:dyDescent="0.25">
      <c r="F34" s="16"/>
      <c r="G34" s="16"/>
    </row>
    <row r="35" spans="6:7" x14ac:dyDescent="0.25">
      <c r="F35" s="16"/>
      <c r="G35" s="16"/>
    </row>
    <row r="37" spans="6:7" x14ac:dyDescent="0.25">
      <c r="F37" s="16"/>
      <c r="G37" s="16"/>
    </row>
    <row r="38" spans="6:7" x14ac:dyDescent="0.25">
      <c r="F38" s="16"/>
      <c r="G38" s="16"/>
    </row>
    <row r="39" spans="6:7" x14ac:dyDescent="0.25">
      <c r="F39" s="16"/>
      <c r="G39" s="16"/>
    </row>
    <row r="40" spans="6:7" x14ac:dyDescent="0.25">
      <c r="F40" s="16"/>
      <c r="G40" s="16"/>
    </row>
    <row r="41" spans="6:7" x14ac:dyDescent="0.25">
      <c r="F41" s="16"/>
      <c r="G41" s="16"/>
    </row>
    <row r="42" spans="6:7" x14ac:dyDescent="0.25">
      <c r="F42" s="16"/>
      <c r="G42" s="16"/>
    </row>
    <row r="43" spans="6:7" x14ac:dyDescent="0.25">
      <c r="F43" s="16"/>
      <c r="G43" s="16"/>
    </row>
    <row r="44" spans="6:7" x14ac:dyDescent="0.25">
      <c r="F44" s="16"/>
      <c r="G44" s="16"/>
    </row>
    <row r="45" spans="6:7" x14ac:dyDescent="0.25">
      <c r="F45" s="16"/>
      <c r="G45" s="16"/>
    </row>
    <row r="46" spans="6:7" x14ac:dyDescent="0.25">
      <c r="F46" s="16"/>
      <c r="G46" s="16"/>
    </row>
    <row r="47" spans="6:7" x14ac:dyDescent="0.25">
      <c r="F47" s="16"/>
      <c r="G47" s="16"/>
    </row>
    <row r="48" spans="6:7" x14ac:dyDescent="0.25">
      <c r="F48" s="16"/>
      <c r="G48" s="16"/>
    </row>
    <row r="49" spans="6:7" x14ac:dyDescent="0.25">
      <c r="F49" s="16"/>
      <c r="G49" s="16"/>
    </row>
    <row r="50" spans="6:7" x14ac:dyDescent="0.25">
      <c r="F50" s="16"/>
      <c r="G50" s="16"/>
    </row>
    <row r="51" spans="6:7" x14ac:dyDescent="0.25">
      <c r="F51" s="16"/>
      <c r="G51" s="16"/>
    </row>
    <row r="52" spans="6:7" x14ac:dyDescent="0.25">
      <c r="F52" s="16"/>
      <c r="G52" s="16"/>
    </row>
    <row r="53" spans="6:7" x14ac:dyDescent="0.25">
      <c r="F53" s="16"/>
      <c r="G53" s="16"/>
    </row>
    <row r="54" spans="6:7" x14ac:dyDescent="0.25">
      <c r="F54" s="16"/>
      <c r="G54" s="16"/>
    </row>
    <row r="55" spans="6:7" x14ac:dyDescent="0.25">
      <c r="F55" s="16"/>
      <c r="G55" s="16"/>
    </row>
    <row r="56" spans="6:7" x14ac:dyDescent="0.25">
      <c r="F56" s="16"/>
      <c r="G56" s="16"/>
    </row>
    <row r="57" spans="6:7" x14ac:dyDescent="0.25">
      <c r="F57" s="16"/>
      <c r="G57" s="16"/>
    </row>
    <row r="58" spans="6:7" x14ac:dyDescent="0.25">
      <c r="F58" s="16"/>
      <c r="G58" s="16"/>
    </row>
    <row r="59" spans="6:7" x14ac:dyDescent="0.25">
      <c r="F59" s="16"/>
      <c r="G59" s="16"/>
    </row>
    <row r="60" spans="6:7" x14ac:dyDescent="0.25">
      <c r="F60" s="16"/>
      <c r="G60" s="16"/>
    </row>
    <row r="61" spans="6:7" x14ac:dyDescent="0.25">
      <c r="F61" s="16"/>
      <c r="G61" s="16"/>
    </row>
    <row r="62" spans="6:7" x14ac:dyDescent="0.25">
      <c r="F62" s="16"/>
      <c r="G62" s="16"/>
    </row>
    <row r="63" spans="6:7" x14ac:dyDescent="0.25">
      <c r="F63" s="16"/>
      <c r="G63" s="16"/>
    </row>
    <row r="64" spans="6:7" x14ac:dyDescent="0.25">
      <c r="F64" s="16"/>
      <c r="G64" s="16"/>
    </row>
    <row r="65" spans="6:7" x14ac:dyDescent="0.25">
      <c r="F65" s="16"/>
      <c r="G65" s="16"/>
    </row>
    <row r="66" spans="6:7" x14ac:dyDescent="0.25">
      <c r="F66" s="16"/>
      <c r="G66" s="16"/>
    </row>
    <row r="67" spans="6:7" x14ac:dyDescent="0.25">
      <c r="F67" s="16"/>
      <c r="G67" s="16"/>
    </row>
    <row r="69" spans="6:7" x14ac:dyDescent="0.25">
      <c r="F69" s="16"/>
      <c r="G69" s="16"/>
    </row>
    <row r="70" spans="6:7" x14ac:dyDescent="0.25">
      <c r="F70" s="16"/>
      <c r="G70" s="16"/>
    </row>
    <row r="71" spans="6:7" x14ac:dyDescent="0.25">
      <c r="F71" s="16"/>
      <c r="G71" s="16"/>
    </row>
    <row r="72" spans="6:7" x14ac:dyDescent="0.25">
      <c r="F72" s="16"/>
      <c r="G72" s="16"/>
    </row>
    <row r="73" spans="6:7" x14ac:dyDescent="0.25">
      <c r="F73" s="16"/>
      <c r="G73" s="16"/>
    </row>
    <row r="74" spans="6:7" x14ac:dyDescent="0.25">
      <c r="F74" s="16"/>
      <c r="G74" s="16"/>
    </row>
    <row r="75" spans="6:7" x14ac:dyDescent="0.25">
      <c r="F75" s="16"/>
      <c r="G75" s="16"/>
    </row>
    <row r="76" spans="6:7" x14ac:dyDescent="0.25">
      <c r="F76" s="16"/>
      <c r="G76" s="16"/>
    </row>
    <row r="77" spans="6:7" x14ac:dyDescent="0.25">
      <c r="F77" s="16"/>
      <c r="G77" s="16"/>
    </row>
    <row r="78" spans="6:7" x14ac:dyDescent="0.25">
      <c r="F78" s="16"/>
      <c r="G78" s="16"/>
    </row>
    <row r="79" spans="6:7" x14ac:dyDescent="0.25">
      <c r="F79" s="16"/>
      <c r="G79" s="16"/>
    </row>
    <row r="80" spans="6:7" x14ac:dyDescent="0.25">
      <c r="F80" s="16"/>
      <c r="G80" s="16"/>
    </row>
    <row r="81" spans="6:7" x14ac:dyDescent="0.25">
      <c r="F81" s="16"/>
      <c r="G81" s="16"/>
    </row>
    <row r="82" spans="6:7" x14ac:dyDescent="0.25">
      <c r="F82" s="16"/>
      <c r="G82" s="16"/>
    </row>
    <row r="83" spans="6:7" x14ac:dyDescent="0.25">
      <c r="F83" s="16"/>
      <c r="G83" s="16"/>
    </row>
    <row r="84" spans="6:7" x14ac:dyDescent="0.25">
      <c r="F84" s="16"/>
      <c r="G84" s="16"/>
    </row>
    <row r="85" spans="6:7" x14ac:dyDescent="0.25">
      <c r="F85" s="16"/>
      <c r="G85" s="16"/>
    </row>
    <row r="86" spans="6:7" x14ac:dyDescent="0.25">
      <c r="F86" s="16"/>
      <c r="G86" s="16"/>
    </row>
    <row r="87" spans="6:7" x14ac:dyDescent="0.25">
      <c r="F87" s="16"/>
      <c r="G87" s="16"/>
    </row>
    <row r="88" spans="6:7" x14ac:dyDescent="0.25">
      <c r="F88" s="16"/>
      <c r="G88" s="16"/>
    </row>
    <row r="89" spans="6:7" x14ac:dyDescent="0.25">
      <c r="F89" s="16"/>
      <c r="G89" s="16"/>
    </row>
    <row r="90" spans="6:7" x14ac:dyDescent="0.25">
      <c r="F90" s="16"/>
      <c r="G90" s="16"/>
    </row>
    <row r="91" spans="6:7" x14ac:dyDescent="0.25">
      <c r="F91" s="16"/>
      <c r="G91" s="16"/>
    </row>
    <row r="92" spans="6:7" x14ac:dyDescent="0.25">
      <c r="F92" s="16"/>
      <c r="G92" s="16"/>
    </row>
    <row r="93" spans="6:7" x14ac:dyDescent="0.25">
      <c r="F93" s="16"/>
      <c r="G93" s="16"/>
    </row>
    <row r="94" spans="6:7" x14ac:dyDescent="0.25">
      <c r="F94" s="16"/>
      <c r="G94" s="16"/>
    </row>
    <row r="95" spans="6:7" x14ac:dyDescent="0.25">
      <c r="F95" s="16"/>
      <c r="G95" s="16"/>
    </row>
    <row r="96" spans="6:7" x14ac:dyDescent="0.25">
      <c r="F96" s="16"/>
      <c r="G96" s="16"/>
    </row>
    <row r="97" spans="6:7" x14ac:dyDescent="0.25">
      <c r="F97" s="16"/>
      <c r="G97" s="16"/>
    </row>
    <row r="98" spans="6:7" x14ac:dyDescent="0.25">
      <c r="F98" s="16"/>
      <c r="G98" s="16"/>
    </row>
    <row r="99" spans="6:7" x14ac:dyDescent="0.25">
      <c r="F99" s="16"/>
      <c r="G99" s="16"/>
    </row>
    <row r="100" spans="6:7" x14ac:dyDescent="0.25">
      <c r="F100" s="16"/>
      <c r="G100" s="16"/>
    </row>
    <row r="101" spans="6:7" x14ac:dyDescent="0.25">
      <c r="F101" s="16"/>
      <c r="G101" s="16"/>
    </row>
    <row r="102" spans="6:7" x14ac:dyDescent="0.25">
      <c r="F102" s="16"/>
      <c r="G102" s="16"/>
    </row>
    <row r="103" spans="6:7" x14ac:dyDescent="0.25">
      <c r="F103" s="16"/>
      <c r="G103" s="16"/>
    </row>
    <row r="104" spans="6:7" x14ac:dyDescent="0.25">
      <c r="F104" s="16"/>
      <c r="G104" s="16"/>
    </row>
    <row r="105" spans="6:7" x14ac:dyDescent="0.25">
      <c r="F105" s="16"/>
      <c r="G105" s="16"/>
    </row>
    <row r="106" spans="6:7" x14ac:dyDescent="0.25">
      <c r="F106" s="16"/>
      <c r="G106" s="16"/>
    </row>
    <row r="107" spans="6:7" x14ac:dyDescent="0.25">
      <c r="F107" s="16"/>
      <c r="G107" s="16"/>
    </row>
    <row r="108" spans="6:7" x14ac:dyDescent="0.25">
      <c r="F108" s="16"/>
      <c r="G108" s="16"/>
    </row>
    <row r="109" spans="6:7" x14ac:dyDescent="0.25">
      <c r="F109" s="16"/>
      <c r="G109" s="16"/>
    </row>
    <row r="110" spans="6:7" x14ac:dyDescent="0.25">
      <c r="F110" s="16"/>
      <c r="G110" s="16"/>
    </row>
    <row r="111" spans="6:7" x14ac:dyDescent="0.25">
      <c r="F111" s="16"/>
      <c r="G111" s="16"/>
    </row>
    <row r="112" spans="6:7" x14ac:dyDescent="0.25">
      <c r="F112" s="16"/>
      <c r="G112" s="16"/>
    </row>
    <row r="113" spans="6:7" x14ac:dyDescent="0.25">
      <c r="F113" s="16"/>
      <c r="G113" s="16"/>
    </row>
    <row r="114" spans="6:7" x14ac:dyDescent="0.25">
      <c r="F114" s="16"/>
      <c r="G114" s="16"/>
    </row>
    <row r="115" spans="6:7" x14ac:dyDescent="0.25">
      <c r="F115" s="16"/>
      <c r="G115" s="16"/>
    </row>
    <row r="116" spans="6:7" x14ac:dyDescent="0.25">
      <c r="F116" s="16"/>
      <c r="G116" s="16"/>
    </row>
    <row r="117" spans="6:7" x14ac:dyDescent="0.25">
      <c r="F117" s="16"/>
      <c r="G117" s="16"/>
    </row>
    <row r="118" spans="6:7" x14ac:dyDescent="0.25">
      <c r="F118" s="16"/>
      <c r="G118" s="16"/>
    </row>
    <row r="119" spans="6:7" x14ac:dyDescent="0.25">
      <c r="F119" s="16"/>
      <c r="G119" s="16"/>
    </row>
    <row r="120" spans="6:7" x14ac:dyDescent="0.25">
      <c r="F120" s="16"/>
      <c r="G120" s="16"/>
    </row>
    <row r="121" spans="6:7" x14ac:dyDescent="0.25">
      <c r="F121" s="16"/>
      <c r="G121" s="16"/>
    </row>
    <row r="122" spans="6:7" x14ac:dyDescent="0.25">
      <c r="F122" s="16"/>
      <c r="G122" s="16"/>
    </row>
    <row r="123" spans="6:7" x14ac:dyDescent="0.25">
      <c r="F123" s="16"/>
      <c r="G123" s="16"/>
    </row>
    <row r="124" spans="6:7" x14ac:dyDescent="0.25">
      <c r="F124" s="16"/>
      <c r="G124" s="16"/>
    </row>
    <row r="125" spans="6:7" x14ac:dyDescent="0.25">
      <c r="F125" s="16"/>
      <c r="G125" s="16"/>
    </row>
    <row r="126" spans="6:7" x14ac:dyDescent="0.25">
      <c r="F126" s="16"/>
      <c r="G126" s="16"/>
    </row>
    <row r="127" spans="6:7" x14ac:dyDescent="0.25">
      <c r="F127" s="16"/>
      <c r="G127" s="16"/>
    </row>
    <row r="128" spans="6:7" x14ac:dyDescent="0.25">
      <c r="F128" s="16"/>
      <c r="G128" s="16"/>
    </row>
    <row r="129" spans="6:7" x14ac:dyDescent="0.25">
      <c r="F129" s="16"/>
      <c r="G129" s="16"/>
    </row>
    <row r="130" spans="6:7" x14ac:dyDescent="0.25">
      <c r="F130" s="16"/>
      <c r="G130" s="16"/>
    </row>
    <row r="131" spans="6:7" x14ac:dyDescent="0.25">
      <c r="F131" s="16"/>
      <c r="G131" s="16"/>
    </row>
    <row r="132" spans="6:7" x14ac:dyDescent="0.25">
      <c r="F132" s="5"/>
      <c r="G132" s="5"/>
    </row>
    <row r="133" spans="6:7" x14ac:dyDescent="0.25">
      <c r="F133" s="16"/>
      <c r="G133" s="16"/>
    </row>
  </sheetData>
  <phoneticPr fontId="22" type="noConversion"/>
  <pageMargins left="0.7" right="0.7" top="0.75" bottom="0.75" header="0.3" footer="0.3"/>
  <pageSetup paperSize="9" orientation="portrait" horizontalDpi="1200" verticalDpi="1200"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B290"/>
  <sheetViews>
    <sheetView zoomScaleNormal="100" workbookViewId="0">
      <pane ySplit="5" topLeftCell="A6" activePane="bottomLeft" state="frozen"/>
      <selection pane="bottomLeft"/>
    </sheetView>
  </sheetViews>
  <sheetFormatPr defaultRowHeight="15" x14ac:dyDescent="0.25"/>
  <cols>
    <col min="1" max="1" width="9.5703125" bestFit="1" customWidth="1"/>
    <col min="2" max="2" width="7" bestFit="1" customWidth="1"/>
    <col min="3" max="3" width="3.7109375" bestFit="1" customWidth="1"/>
    <col min="4" max="4" width="5.7109375" bestFit="1" customWidth="1"/>
    <col min="5" max="6" width="5.140625" bestFit="1" customWidth="1"/>
    <col min="7" max="7" width="5.140625" style="24" bestFit="1" customWidth="1"/>
    <col min="8" max="8" width="7.85546875" bestFit="1" customWidth="1"/>
    <col min="9" max="9" width="9.140625" style="17"/>
    <col min="10" max="10" width="23.5703125" bestFit="1" customWidth="1"/>
    <col min="11" max="11" width="4.140625" bestFit="1" customWidth="1"/>
    <col min="12" max="12" width="3" style="17" bestFit="1" customWidth="1"/>
    <col min="13" max="14" width="3.85546875" bestFit="1" customWidth="1"/>
    <col min="15" max="15" width="2.5703125" customWidth="1"/>
    <col min="16" max="17" width="3.85546875" bestFit="1" customWidth="1"/>
    <col min="18" max="18" width="2.5703125" customWidth="1"/>
    <col min="19" max="20" width="3.85546875" bestFit="1" customWidth="1"/>
    <col min="21" max="21" width="2.5703125" customWidth="1"/>
    <col min="22" max="23" width="3.85546875" bestFit="1" customWidth="1"/>
    <col min="24" max="24" width="2.5703125" customWidth="1"/>
    <col min="25" max="26" width="3.85546875" bestFit="1" customWidth="1"/>
    <col min="27" max="27" width="2.5703125" customWidth="1"/>
    <col min="28" max="29" width="3.85546875" bestFit="1" customWidth="1"/>
    <col min="30" max="30" width="2.5703125" customWidth="1"/>
    <col min="31" max="32" width="3.85546875" bestFit="1" customWidth="1"/>
    <col min="33" max="33" width="2.5703125" customWidth="1"/>
    <col min="34" max="35" width="5.140625" bestFit="1" customWidth="1"/>
    <col min="36" max="36" width="2.5703125" customWidth="1"/>
    <col min="37" max="38" width="5.140625" bestFit="1" customWidth="1"/>
    <col min="39" max="39" width="2.5703125" customWidth="1"/>
    <col min="40" max="41" width="5.140625" bestFit="1" customWidth="1"/>
    <col min="42" max="42" width="9.140625" style="17"/>
    <col min="43" max="43" width="3.7109375" bestFit="1" customWidth="1"/>
    <col min="44" max="44" width="6" customWidth="1"/>
    <col min="45" max="45" width="4.85546875" bestFit="1" customWidth="1"/>
    <col min="46" max="46" width="9" bestFit="1" customWidth="1"/>
    <col min="47" max="47" width="7.85546875" style="17" customWidth="1"/>
    <col min="49" max="49" width="3.7109375" bestFit="1" customWidth="1"/>
    <col min="50" max="50" width="6" customWidth="1"/>
    <col min="51" max="51" width="4.85546875" bestFit="1" customWidth="1"/>
    <col min="52" max="52" width="9" bestFit="1" customWidth="1"/>
    <col min="53" max="53" width="7.85546875" style="17" customWidth="1"/>
    <col min="55" max="55" width="3.7109375" bestFit="1" customWidth="1"/>
    <col min="56" max="56" width="6" bestFit="1" customWidth="1"/>
    <col min="57" max="57" width="4.85546875" bestFit="1" customWidth="1"/>
    <col min="58" max="58" width="9" bestFit="1" customWidth="1"/>
    <col min="59" max="59" width="7.85546875" style="17" bestFit="1" customWidth="1"/>
    <col min="61" max="61" width="3.7109375" bestFit="1" customWidth="1"/>
    <col min="62" max="62" width="6" bestFit="1" customWidth="1"/>
    <col min="63" max="63" width="4.85546875" bestFit="1" customWidth="1"/>
    <col min="64" max="64" width="4.85546875" style="17" bestFit="1" customWidth="1"/>
    <col min="65" max="65" width="9" bestFit="1" customWidth="1"/>
    <col min="66" max="66" width="7.85546875" style="17" bestFit="1" customWidth="1"/>
    <col min="68" max="68" width="3.7109375" bestFit="1" customWidth="1"/>
    <col min="69" max="69" width="6" bestFit="1" customWidth="1"/>
    <col min="70" max="70" width="4.85546875" bestFit="1" customWidth="1"/>
    <col min="71" max="71" width="4.85546875" style="17" bestFit="1" customWidth="1"/>
    <col min="72" max="72" width="9" bestFit="1" customWidth="1"/>
    <col min="73" max="73" width="7.85546875" style="17" bestFit="1" customWidth="1"/>
    <col min="75" max="75" width="3.7109375" bestFit="1" customWidth="1"/>
    <col min="76" max="76" width="6" bestFit="1" customWidth="1"/>
    <col min="77" max="77" width="4.85546875" bestFit="1" customWidth="1"/>
    <col min="78" max="78" width="9" bestFit="1" customWidth="1"/>
    <col min="79" max="79" width="7.85546875" style="17" bestFit="1" customWidth="1"/>
    <col min="81" max="81" width="3.7109375" bestFit="1" customWidth="1"/>
    <col min="82" max="82" width="6" bestFit="1" customWidth="1"/>
    <col min="83" max="83" width="4.85546875" bestFit="1" customWidth="1"/>
    <col min="84" max="84" width="4.85546875" style="17" bestFit="1" customWidth="1"/>
    <col min="85" max="85" width="9" bestFit="1" customWidth="1"/>
    <col min="86" max="86" width="7.85546875" style="17" bestFit="1" customWidth="1"/>
    <col min="88" max="88" width="3.7109375" bestFit="1" customWidth="1"/>
    <col min="89" max="89" width="6" bestFit="1" customWidth="1"/>
    <col min="90" max="90" width="4.85546875" bestFit="1" customWidth="1"/>
    <col min="91" max="91" width="4.85546875" style="17" bestFit="1" customWidth="1"/>
    <col min="92" max="92" width="9" bestFit="1" customWidth="1"/>
    <col min="93" max="93" width="7.85546875" style="17" bestFit="1" customWidth="1"/>
    <col min="95" max="95" width="3.7109375" bestFit="1" customWidth="1"/>
    <col min="96" max="96" width="6" bestFit="1" customWidth="1"/>
    <col min="97" max="97" width="4.85546875" bestFit="1" customWidth="1"/>
    <col min="98" max="98" width="4.85546875" style="17" bestFit="1" customWidth="1"/>
    <col min="99" max="99" width="9" bestFit="1" customWidth="1"/>
    <col min="100" max="100" width="7.85546875" style="17" bestFit="1" customWidth="1"/>
    <col min="102" max="102" width="3.7109375" bestFit="1" customWidth="1"/>
    <col min="103" max="103" width="6" bestFit="1" customWidth="1"/>
    <col min="104" max="104" width="4.85546875" bestFit="1" customWidth="1"/>
    <col min="105" max="105" width="4.85546875" style="17" bestFit="1" customWidth="1"/>
    <col min="106" max="106" width="10.28515625" bestFit="1" customWidth="1"/>
    <col min="107" max="107" width="7.85546875" style="17" bestFit="1" customWidth="1"/>
    <col min="109" max="109" width="3.7109375" bestFit="1" customWidth="1"/>
    <col min="110" max="110" width="6" bestFit="1" customWidth="1"/>
    <col min="111" max="111" width="4.85546875" bestFit="1" customWidth="1"/>
    <col min="112" max="112" width="4.85546875" style="17" bestFit="1" customWidth="1"/>
    <col min="113" max="113" width="10.28515625" bestFit="1" customWidth="1"/>
    <col min="114" max="114" width="7.85546875" style="17" bestFit="1" customWidth="1"/>
    <col min="116" max="116" width="3.7109375" bestFit="1" customWidth="1"/>
    <col min="117" max="117" width="6" bestFit="1" customWidth="1"/>
    <col min="118" max="118" width="4.85546875" bestFit="1" customWidth="1"/>
    <col min="119" max="119" width="4.85546875" style="17" bestFit="1" customWidth="1"/>
    <col min="120" max="120" width="10.28515625" bestFit="1" customWidth="1"/>
    <col min="121" max="121" width="7.85546875" style="17" bestFit="1" customWidth="1"/>
  </cols>
  <sheetData>
    <row r="1" spans="1:132" s="17" customFormat="1" ht="18.75" x14ac:dyDescent="0.3">
      <c r="A1" s="202" t="s">
        <v>2</v>
      </c>
      <c r="B1" s="203">
        <v>4</v>
      </c>
      <c r="G1" s="24"/>
    </row>
    <row r="2" spans="1:132" s="17" customFormat="1" ht="18.75" x14ac:dyDescent="0.3">
      <c r="A2" s="202" t="s">
        <v>4</v>
      </c>
      <c r="B2" s="203">
        <v>3</v>
      </c>
      <c r="G2" s="24"/>
    </row>
    <row r="3" spans="1:132" s="17" customFormat="1" ht="18.75" x14ac:dyDescent="0.3">
      <c r="A3" s="202"/>
      <c r="B3" s="203"/>
      <c r="G3" s="24"/>
    </row>
    <row r="4" spans="1:132" ht="19.5" thickBot="1" x14ac:dyDescent="0.35">
      <c r="A4" s="202" t="s">
        <v>0</v>
      </c>
      <c r="B4" s="203">
        <f>(B1^B2 - 1)/2</f>
        <v>31.5</v>
      </c>
    </row>
    <row r="5" spans="1:132" ht="51.75" thickBot="1" x14ac:dyDescent="0.3">
      <c r="A5" s="120" t="s">
        <v>25</v>
      </c>
      <c r="B5" s="120" t="s">
        <v>26</v>
      </c>
      <c r="C5" s="120" t="s">
        <v>28</v>
      </c>
      <c r="D5" s="208" t="s">
        <v>27</v>
      </c>
      <c r="E5" s="121" t="s">
        <v>9</v>
      </c>
      <c r="F5" s="121" t="s">
        <v>8</v>
      </c>
      <c r="G5" s="121" t="s">
        <v>7</v>
      </c>
      <c r="H5" s="24"/>
      <c r="L5"/>
      <c r="M5" s="17"/>
      <c r="AQ5" s="120" t="s">
        <v>28</v>
      </c>
      <c r="AR5" s="351" t="s">
        <v>26</v>
      </c>
      <c r="AS5" s="323" t="s">
        <v>539</v>
      </c>
      <c r="AT5" s="324" t="s">
        <v>537</v>
      </c>
      <c r="AW5" s="120" t="s">
        <v>28</v>
      </c>
      <c r="AX5" s="322" t="s">
        <v>26</v>
      </c>
      <c r="AY5" s="323" t="s">
        <v>539</v>
      </c>
      <c r="AZ5" s="324" t="s">
        <v>537</v>
      </c>
      <c r="BB5" s="17"/>
      <c r="BC5" s="120" t="s">
        <v>28</v>
      </c>
      <c r="BD5" s="120" t="s">
        <v>26</v>
      </c>
      <c r="BE5" s="254" t="s">
        <v>539</v>
      </c>
      <c r="BF5" s="120" t="s">
        <v>537</v>
      </c>
      <c r="BG5" s="16"/>
      <c r="BH5" s="17"/>
      <c r="BI5" s="120" t="s">
        <v>28</v>
      </c>
      <c r="BJ5" s="120" t="s">
        <v>26</v>
      </c>
      <c r="BK5" s="254" t="s">
        <v>538</v>
      </c>
      <c r="BL5" s="254" t="s">
        <v>539</v>
      </c>
      <c r="BM5" s="120" t="s">
        <v>537</v>
      </c>
      <c r="BN5" s="16"/>
      <c r="BO5" s="17"/>
      <c r="BP5" s="120" t="s">
        <v>28</v>
      </c>
      <c r="BQ5" s="120" t="s">
        <v>26</v>
      </c>
      <c r="BR5" s="254" t="s">
        <v>538</v>
      </c>
      <c r="BS5" s="254" t="s">
        <v>539</v>
      </c>
      <c r="BT5" s="120" t="s">
        <v>537</v>
      </c>
      <c r="BU5" s="16"/>
      <c r="BV5" s="17"/>
      <c r="BW5" s="120" t="s">
        <v>28</v>
      </c>
      <c r="BX5" s="120" t="s">
        <v>26</v>
      </c>
      <c r="BY5" s="254" t="s">
        <v>539</v>
      </c>
      <c r="BZ5" s="120" t="s">
        <v>537</v>
      </c>
      <c r="CA5" s="16"/>
      <c r="CB5" s="17"/>
      <c r="CC5" s="120" t="s">
        <v>28</v>
      </c>
      <c r="CD5" s="120" t="s">
        <v>26</v>
      </c>
      <c r="CE5" s="254" t="s">
        <v>538</v>
      </c>
      <c r="CF5" s="254" t="s">
        <v>539</v>
      </c>
      <c r="CG5" s="120" t="s">
        <v>537</v>
      </c>
      <c r="CH5" s="16"/>
      <c r="CI5" s="17"/>
      <c r="CJ5" s="253" t="s">
        <v>28</v>
      </c>
      <c r="CK5" s="120" t="s">
        <v>26</v>
      </c>
      <c r="CL5" s="254" t="s">
        <v>538</v>
      </c>
      <c r="CM5" s="254" t="s">
        <v>539</v>
      </c>
      <c r="CN5" s="120" t="s">
        <v>537</v>
      </c>
      <c r="CO5" s="16"/>
      <c r="CP5" s="17"/>
      <c r="CQ5" s="120" t="s">
        <v>28</v>
      </c>
      <c r="CR5" s="120" t="s">
        <v>26</v>
      </c>
      <c r="CS5" s="254" t="s">
        <v>538</v>
      </c>
      <c r="CT5" s="254" t="s">
        <v>539</v>
      </c>
      <c r="CU5" s="120" t="s">
        <v>537</v>
      </c>
      <c r="CV5" s="16"/>
      <c r="CW5" s="17"/>
      <c r="CX5" s="120" t="s">
        <v>28</v>
      </c>
      <c r="CY5" s="120" t="s">
        <v>26</v>
      </c>
      <c r="CZ5" s="254" t="s">
        <v>538</v>
      </c>
      <c r="DA5" s="254" t="s">
        <v>539</v>
      </c>
      <c r="DB5" s="120" t="s">
        <v>537</v>
      </c>
      <c r="DC5" s="16"/>
      <c r="DD5" s="17"/>
      <c r="DE5" s="120" t="s">
        <v>28</v>
      </c>
      <c r="DF5" s="120" t="s">
        <v>26</v>
      </c>
      <c r="DG5" s="254" t="s">
        <v>538</v>
      </c>
      <c r="DH5" s="254" t="s">
        <v>539</v>
      </c>
      <c r="DI5" s="120" t="s">
        <v>537</v>
      </c>
      <c r="DJ5" s="16"/>
      <c r="DK5" s="17"/>
      <c r="DL5" s="120" t="s">
        <v>28</v>
      </c>
      <c r="DM5" s="120" t="s">
        <v>26</v>
      </c>
      <c r="DN5" s="254" t="s">
        <v>538</v>
      </c>
      <c r="DO5" s="254" t="s">
        <v>539</v>
      </c>
      <c r="DP5" s="120" t="s">
        <v>537</v>
      </c>
      <c r="DQ5" s="16"/>
    </row>
    <row r="6" spans="1:132" ht="16.5" thickTop="1" thickBot="1" x14ac:dyDescent="0.3">
      <c r="A6" s="1">
        <v>0</v>
      </c>
      <c r="B6" s="9">
        <f>ROUNDUP(t_B4n3_Fixed[[#This Row],[Row]]-$B$4,0)</f>
        <v>-32</v>
      </c>
      <c r="C6" s="12"/>
      <c r="D6" s="9">
        <v>0</v>
      </c>
      <c r="E6" s="20">
        <f>MOD(INT(t_B4n3[[#This Row],[x]]/$B$1^INT(RIGHT(t_B4n3[[#Headers],[b2]],1))),$B$1)</f>
        <v>0</v>
      </c>
      <c r="F6" s="20">
        <f>MOD(INT(t_B4n3[[#This Row],[x]]/$B$1^INT(RIGHT(t_B4n3[[#Headers],[b1]],1))),$B$1)</f>
        <v>0</v>
      </c>
      <c r="G6" s="20">
        <f>MOD(INT(t_B4n3[[#This Row],[x]]/$B$1^INT(RIGHT(t_B4n3[[#Headers],[b0]],1))),$B$1)</f>
        <v>0</v>
      </c>
      <c r="H6" s="13"/>
      <c r="L6"/>
      <c r="M6" s="16"/>
      <c r="AQ6" s="139"/>
      <c r="AR6" s="314">
        <f>INDEX(t_B4n3_Fixed[Offset],MATCH($A$6,t_B4n3[x],0),1)</f>
        <v>-32</v>
      </c>
      <c r="AS6" s="314">
        <v>0</v>
      </c>
      <c r="AT6" s="342" t="s">
        <v>56</v>
      </c>
      <c r="AU6" s="27" t="s">
        <v>0</v>
      </c>
      <c r="AW6" s="139"/>
      <c r="AX6" s="320">
        <f>INDEX(t_B4n3_Fixed[Offset],MATCH($A$27,t_B4n3[x],0),1)</f>
        <v>-11</v>
      </c>
      <c r="AY6" s="314">
        <v>21</v>
      </c>
      <c r="AZ6" s="352" t="s">
        <v>324</v>
      </c>
      <c r="BA6" s="27" t="s">
        <v>0</v>
      </c>
      <c r="BB6" s="17"/>
      <c r="BC6" s="139"/>
      <c r="BD6" s="138">
        <f>INDEX(t_B4n3_Fixed[Offset],MATCH($A$7,t_B4n3[x],0),1)</f>
        <v>-31</v>
      </c>
      <c r="BE6" s="139">
        <v>1</v>
      </c>
      <c r="BF6" s="255" t="s">
        <v>304</v>
      </c>
      <c r="BG6" s="16"/>
      <c r="BH6" s="17"/>
      <c r="BI6" s="139"/>
      <c r="BJ6" s="138">
        <f>INDEX(t_B4n3_Fixed[Offset],MATCH($A$8,t_B4n3[x],0),1)</f>
        <v>-30</v>
      </c>
      <c r="BK6" s="139">
        <v>0</v>
      </c>
      <c r="BL6" s="139">
        <v>2</v>
      </c>
      <c r="BM6" s="274" t="s">
        <v>305</v>
      </c>
      <c r="BN6" s="16"/>
      <c r="BO6" s="17"/>
      <c r="BP6" s="139"/>
      <c r="BQ6" s="138">
        <f>INDEX(t_B4n3_Fixed[Offset],MATCH($A$9,t_B4n3[x],0),1)</f>
        <v>-29</v>
      </c>
      <c r="BR6" s="139">
        <v>0</v>
      </c>
      <c r="BS6" s="139">
        <v>3</v>
      </c>
      <c r="BT6" s="276" t="s">
        <v>306</v>
      </c>
      <c r="BU6" s="16"/>
      <c r="BV6" s="17"/>
      <c r="BW6" s="139"/>
      <c r="BX6" s="138">
        <f>INDEX(t_B4n3_Fixed[Offset],MATCH($A$11,t_B4n3[x],0),1)</f>
        <v>-27</v>
      </c>
      <c r="BY6" s="139">
        <v>5</v>
      </c>
      <c r="BZ6" s="277" t="s">
        <v>308</v>
      </c>
      <c r="CA6" s="16"/>
      <c r="CB6" s="17"/>
      <c r="CC6" s="139"/>
      <c r="CD6" s="139">
        <f>INDEX(t_B4n3_Fixed[Offset],MATCH($A$12,t_B4n3[x],0),1)</f>
        <v>-26</v>
      </c>
      <c r="CE6" s="139">
        <v>0</v>
      </c>
      <c r="CF6" s="139">
        <v>6</v>
      </c>
      <c r="CG6" s="238" t="s">
        <v>309</v>
      </c>
      <c r="CH6" s="16"/>
      <c r="CI6" s="17"/>
      <c r="CJ6" s="230"/>
      <c r="CK6" s="139">
        <f>INDEX(t_B4n3_Fixed[Offset],MATCH($A$13,t_B4n3[x],0),1)</f>
        <v>-25</v>
      </c>
      <c r="CL6" s="139">
        <v>0</v>
      </c>
      <c r="CM6" s="139">
        <v>7</v>
      </c>
      <c r="CN6" s="241" t="s">
        <v>310</v>
      </c>
      <c r="CO6" s="16"/>
      <c r="CP6" s="17"/>
      <c r="CQ6" s="139"/>
      <c r="CR6" s="139">
        <f>INDEX(t_B4n3_Fixed[Offset],MATCH($A$15,t_B4n3[x],0),1)</f>
        <v>-23</v>
      </c>
      <c r="CS6" s="139">
        <v>0</v>
      </c>
      <c r="CT6" s="139">
        <v>22</v>
      </c>
      <c r="CU6" s="244" t="s">
        <v>312</v>
      </c>
      <c r="CV6" s="16"/>
      <c r="CW6" s="17"/>
      <c r="CX6" s="139"/>
      <c r="CY6" s="139">
        <f>INDEX(t_B4n3_Fixed[Offset],MATCH($A$16,t_B4n3[x],0),1)</f>
        <v>-22</v>
      </c>
      <c r="CZ6" s="139">
        <v>0</v>
      </c>
      <c r="DA6" s="139">
        <v>22</v>
      </c>
      <c r="DB6" s="247" t="s">
        <v>313</v>
      </c>
      <c r="DC6" s="16"/>
      <c r="DD6" s="17"/>
      <c r="DE6" s="139"/>
      <c r="DF6" s="139">
        <f>INDEX(t_B4n3_Fixed[Offset],MATCH($A$17,t_B4n3[x],0),1)</f>
        <v>-21</v>
      </c>
      <c r="DG6" s="139">
        <v>0</v>
      </c>
      <c r="DH6" s="139">
        <v>22</v>
      </c>
      <c r="DI6" s="250" t="s">
        <v>314</v>
      </c>
      <c r="DJ6" s="16"/>
      <c r="DK6" s="17"/>
      <c r="DL6" s="139"/>
      <c r="DM6" s="138">
        <f>INDEX(t_B4n3_Fixed[Offset],MATCH($A$28,t_B4n3[x],0),1)</f>
        <v>-10</v>
      </c>
      <c r="DN6" s="139">
        <v>0</v>
      </c>
      <c r="DO6" s="139">
        <v>22</v>
      </c>
      <c r="DP6" s="232" t="s">
        <v>325</v>
      </c>
      <c r="DQ6" s="16"/>
    </row>
    <row r="7" spans="1:132" ht="15.75" thickBot="1" x14ac:dyDescent="0.3">
      <c r="A7" s="1">
        <v>1</v>
      </c>
      <c r="B7" s="9">
        <f>ROUNDUP(t_B4n3_Fixed[[#This Row],[Row]]-$B$4,0)</f>
        <v>-31</v>
      </c>
      <c r="C7" s="12">
        <f>t_B4n3[[#This Row],[x]]-D6</f>
        <v>1</v>
      </c>
      <c r="D7" s="9">
        <v>1</v>
      </c>
      <c r="E7" s="42">
        <f>MOD(INT(t_B4n3[[#This Row],[x]]/$B$1^INT(RIGHT(t_B4n3[[#Headers],[b2]],1))),$B$1)</f>
        <v>0</v>
      </c>
      <c r="F7" s="42">
        <f>MOD(INT(t_B4n3[[#This Row],[x]]/$B$1^INT(RIGHT(t_B4n3[[#Headers],[b1]],1))),$B$1)</f>
        <v>0</v>
      </c>
      <c r="G7" s="43">
        <f>MOD(INT(t_B4n3[[#This Row],[x]]/$B$1^INT(RIGHT(t_B4n3[[#Headers],[b0]],1))),$B$1)</f>
        <v>1</v>
      </c>
      <c r="H7" s="13"/>
      <c r="J7" s="34" t="s">
        <v>21</v>
      </c>
      <c r="K7" s="35" t="s">
        <v>5</v>
      </c>
      <c r="L7"/>
      <c r="M7" s="72"/>
      <c r="N7" s="16"/>
      <c r="O7" s="16"/>
      <c r="P7" s="16"/>
      <c r="Q7" s="16"/>
      <c r="AQ7" s="139">
        <f>t_B4n3_AB1[[#This Row],[Offset]]-AR6</f>
        <v>64</v>
      </c>
      <c r="AR7" s="317">
        <f>INDEX(t_B4n3_Fixed[Offset],MATCH($A$69,t_B4n3[x],0),1)</f>
        <v>32</v>
      </c>
      <c r="AS7" s="317">
        <v>63</v>
      </c>
      <c r="AT7" s="344" t="s">
        <v>366</v>
      </c>
      <c r="AW7" s="139">
        <f>t_B4n3_AB2[[#This Row],[Offset]]-AX6</f>
        <v>22</v>
      </c>
      <c r="AX7" s="325">
        <f>INDEX(t_B4n3_Fixed[Offset],MATCH($A$48,t_B4n3[x],0),1)</f>
        <v>11</v>
      </c>
      <c r="AY7" s="317">
        <v>42</v>
      </c>
      <c r="AZ7" s="353" t="s">
        <v>345</v>
      </c>
      <c r="BB7" s="17"/>
      <c r="BC7" s="139">
        <f>t_B4n3_AB3[[#This Row],[Offset]]-BD6</f>
        <v>3</v>
      </c>
      <c r="BD7" s="138">
        <f>INDEX(t_B4n3_Fixed[Offset],MATCH($A$10,t_B4n3[x],0),1)</f>
        <v>-28</v>
      </c>
      <c r="BE7" s="139">
        <v>4</v>
      </c>
      <c r="BF7" s="255" t="s">
        <v>307</v>
      </c>
      <c r="BG7" s="16"/>
      <c r="BH7" s="17"/>
      <c r="BI7" s="139">
        <f>t_B4n3_AB4[[#This Row],[Offset]]-BJ6</f>
        <v>6</v>
      </c>
      <c r="BJ7" s="138">
        <f>INDEX(t_B4n3_Fixed[Offset],MATCH($A$14,t_B4n3[x],0),1)</f>
        <v>-24</v>
      </c>
      <c r="BK7" s="139">
        <v>1</v>
      </c>
      <c r="BL7" s="139">
        <v>8</v>
      </c>
      <c r="BM7" s="274" t="s">
        <v>311</v>
      </c>
      <c r="BN7" s="16"/>
      <c r="BO7" s="17"/>
      <c r="BP7" s="139">
        <f>t_B4n3_AB5[[#This Row],[Offset]]-BQ6</f>
        <v>9</v>
      </c>
      <c r="BQ7" s="138">
        <f>INDEX(t_B4n3_Fixed[Offset],MATCH($A$18,t_B4n3[x],0),1)</f>
        <v>-20</v>
      </c>
      <c r="BR7" s="139">
        <v>1</v>
      </c>
      <c r="BS7" s="139">
        <v>12</v>
      </c>
      <c r="BT7" s="276" t="s">
        <v>315</v>
      </c>
      <c r="BU7" s="16"/>
      <c r="BV7" s="17"/>
      <c r="BW7" s="139">
        <f>t_B4n3_AB6[[#This Row],[Offset]]-BX6</f>
        <v>12</v>
      </c>
      <c r="BX7" s="138">
        <f>INDEX(t_B4n3_Fixed[Offset],MATCH($A$23,t_B4n3[x],0),1)</f>
        <v>-15</v>
      </c>
      <c r="BY7" s="139">
        <v>17</v>
      </c>
      <c r="BZ7" s="277" t="s">
        <v>320</v>
      </c>
      <c r="CA7" s="16"/>
      <c r="CB7" s="17"/>
      <c r="CC7" s="139">
        <f>t_B4n3_AB7[[#This Row],[Offset]]-CD6</f>
        <v>18</v>
      </c>
      <c r="CD7" s="139">
        <f>INDEX(t_B4n3_Fixed[Offset],MATCH($A$30,t_B4n3[x],0),1)</f>
        <v>-8</v>
      </c>
      <c r="CE7" s="139">
        <v>1</v>
      </c>
      <c r="CF7" s="139">
        <v>24</v>
      </c>
      <c r="CG7" s="239" t="s">
        <v>327</v>
      </c>
      <c r="CH7" s="16"/>
      <c r="CI7" s="17"/>
      <c r="CJ7" s="230">
        <f>t_B4n3_AB8[[#This Row],[Offset]]-CK6</f>
        <v>7</v>
      </c>
      <c r="CK7" s="139">
        <f>INDEX(t_B4n3_Fixed[Offset],MATCH($A$20,t_B4n3[x],0),1)</f>
        <v>-18</v>
      </c>
      <c r="CL7" s="139">
        <v>3</v>
      </c>
      <c r="CM7" s="139">
        <v>14</v>
      </c>
      <c r="CN7" s="243" t="s">
        <v>317</v>
      </c>
      <c r="CO7" s="16"/>
      <c r="CP7" s="17"/>
      <c r="CQ7" s="139">
        <f>t_B4n3_AB9[[#This Row],[Offset]]-CR6</f>
        <v>9</v>
      </c>
      <c r="CR7" s="139">
        <f>INDEX(t_B4n3_Fixed[Offset],MATCH($A$24,t_B4n3[x],0),1)</f>
        <v>-14</v>
      </c>
      <c r="CS7" s="139">
        <v>1</v>
      </c>
      <c r="CT7" s="139">
        <v>25</v>
      </c>
      <c r="CU7" s="245" t="s">
        <v>321</v>
      </c>
      <c r="CV7" s="16"/>
      <c r="CW7" s="17"/>
      <c r="CX7" s="139">
        <f>t_B4n3_AB10[[#This Row],[Offset]]-CY6</f>
        <v>13</v>
      </c>
      <c r="CY7" s="139">
        <f>INDEX(t_B4n3_Fixed[Offset],MATCH($A$29,t_B4n3[x],0),1)</f>
        <v>-9</v>
      </c>
      <c r="CZ7" s="139">
        <v>3</v>
      </c>
      <c r="DA7" s="139">
        <v>25</v>
      </c>
      <c r="DB7" s="249" t="s">
        <v>326</v>
      </c>
      <c r="DC7" s="16"/>
      <c r="DD7" s="17"/>
      <c r="DE7" s="139">
        <f>t_B4n3_AB11[[#This Row],[Offset]]-DF6</f>
        <v>2</v>
      </c>
      <c r="DF7" s="139">
        <f>INDEX(t_B4n3_Fixed[Offset],MATCH($A$19,t_B4n3[x],0),1)</f>
        <v>-19</v>
      </c>
      <c r="DG7" s="139">
        <v>3</v>
      </c>
      <c r="DH7" s="139">
        <v>25</v>
      </c>
      <c r="DI7" s="252" t="s">
        <v>316</v>
      </c>
      <c r="DJ7" s="16"/>
      <c r="DK7" s="17"/>
      <c r="DL7" s="139">
        <f>t_B4n3_AB12[[#This Row],[Offset]]-DM6</f>
        <v>3</v>
      </c>
      <c r="DM7" s="138">
        <f>INDEX(t_B4n3_Fixed[Offset],MATCH($A$31,t_B4n3[x],0),1)</f>
        <v>-7</v>
      </c>
      <c r="DN7" s="139">
        <v>1</v>
      </c>
      <c r="DO7" s="139">
        <v>25</v>
      </c>
      <c r="DP7" s="232" t="s">
        <v>328</v>
      </c>
      <c r="DQ7" s="16"/>
    </row>
    <row r="8" spans="1:132" ht="15.75" thickBot="1" x14ac:dyDescent="0.3">
      <c r="A8" s="1">
        <v>2</v>
      </c>
      <c r="B8" s="9">
        <f>ROUNDUP(t_B4n3_Fixed[[#This Row],[Row]]-$B$4,0)</f>
        <v>-30</v>
      </c>
      <c r="C8" s="12">
        <f>t_B4n3[[#This Row],[x]]-D7</f>
        <v>1</v>
      </c>
      <c r="D8" s="139">
        <v>2</v>
      </c>
      <c r="E8" s="44">
        <f>MOD(INT(t_B4n3[[#This Row],[x]]/$B$1^INT(RIGHT(t_B4n3[[#Headers],[b2]],1))),$B$1)</f>
        <v>0</v>
      </c>
      <c r="F8" s="44">
        <f>MOD(INT(t_B4n3[[#This Row],[x]]/$B$1^INT(RIGHT(t_B4n3[[#Headers],[b1]],1))),$B$1)</f>
        <v>0</v>
      </c>
      <c r="G8" s="45">
        <f>MOD(INT(t_B4n3[[#This Row],[x]]/$B$1^INT(RIGHT(t_B4n3[[#Headers],[b0]],1))),$B$1)</f>
        <v>2</v>
      </c>
      <c r="H8" s="13"/>
      <c r="J8" s="32" t="s">
        <v>13</v>
      </c>
      <c r="K8" s="33">
        <v>2</v>
      </c>
      <c r="L8"/>
      <c r="M8" s="89" t="s">
        <v>33</v>
      </c>
      <c r="N8" s="107" t="s">
        <v>34</v>
      </c>
      <c r="P8" s="181" t="s">
        <v>36</v>
      </c>
      <c r="Q8" s="108" t="s">
        <v>37</v>
      </c>
      <c r="AQ8" s="17"/>
      <c r="AR8" s="17"/>
      <c r="AS8" s="17"/>
      <c r="AT8" s="17"/>
      <c r="AW8" s="17"/>
      <c r="AX8" s="17"/>
      <c r="AY8" s="17"/>
      <c r="AZ8" s="17"/>
      <c r="BB8" s="17"/>
      <c r="BC8" s="139">
        <f>t_B4n3_AB3[[#This Row],[Offset]]-BD7</f>
        <v>12</v>
      </c>
      <c r="BD8" s="140">
        <f>INDEX(t_B4n3_Fixed[Offset],MATCH($A$22,t_B4n3[x],0),1)</f>
        <v>-16</v>
      </c>
      <c r="BE8" s="6">
        <v>16</v>
      </c>
      <c r="BF8" s="295" t="s">
        <v>319</v>
      </c>
      <c r="BG8" s="25" t="s">
        <v>0</v>
      </c>
      <c r="BH8" s="17"/>
      <c r="BI8" s="139">
        <f>t_B4n3_AB4[[#This Row],[Offset]]-BJ7</f>
        <v>23</v>
      </c>
      <c r="BJ8" s="6">
        <f>INDEX(t_B4n3_Fixed[Offset],MATCH($A$37,t_B4n3[x],0),1)</f>
        <v>-1</v>
      </c>
      <c r="BK8" s="6">
        <v>3</v>
      </c>
      <c r="BL8" s="6">
        <v>31</v>
      </c>
      <c r="BM8" s="311" t="s">
        <v>334</v>
      </c>
      <c r="BN8" s="25" t="s">
        <v>0</v>
      </c>
      <c r="BO8" s="17"/>
      <c r="BP8" s="139">
        <f>t_B4n3_AB5[[#This Row],[Offset]]-BQ7</f>
        <v>3</v>
      </c>
      <c r="BQ8" s="140">
        <f>INDEX(t_B4n3_Fixed[Offset],MATCH($A$21,t_B4n3[x],0),1)</f>
        <v>-17</v>
      </c>
      <c r="BR8" s="6">
        <v>3</v>
      </c>
      <c r="BS8" s="6">
        <v>15</v>
      </c>
      <c r="BT8" s="363" t="s">
        <v>318</v>
      </c>
      <c r="BU8" s="25" t="s">
        <v>0</v>
      </c>
      <c r="BV8" s="17"/>
      <c r="BW8" s="139">
        <f>t_B4n3_AB6[[#This Row],[Offset]]-BX7</f>
        <v>3</v>
      </c>
      <c r="BX8" s="140">
        <f>INDEX(t_B4n3_Fixed[Offset],MATCH($A$26,t_B4n3[x],0),1)</f>
        <v>-12</v>
      </c>
      <c r="BY8" s="6">
        <v>20</v>
      </c>
      <c r="BZ8" s="303" t="s">
        <v>323</v>
      </c>
      <c r="CA8" s="25" t="s">
        <v>0</v>
      </c>
      <c r="CB8" s="17"/>
      <c r="CC8" s="139">
        <f>t_B4n3_AB7[[#This Row],[Offset]]-CD7</f>
        <v>6</v>
      </c>
      <c r="CD8" s="6">
        <f>INDEX(t_B4n3_Fixed[Offset],MATCH($A$36,t_B4n3[x],0),1)</f>
        <v>-2</v>
      </c>
      <c r="CE8" s="6">
        <v>3</v>
      </c>
      <c r="CF8" s="6">
        <v>30</v>
      </c>
      <c r="CG8" s="364" t="s">
        <v>333</v>
      </c>
      <c r="CH8" s="25" t="s">
        <v>0</v>
      </c>
      <c r="CI8" s="17"/>
      <c r="CJ8" s="230">
        <f>t_B4n3_AB8[[#This Row],[Offset]]-CK7</f>
        <v>14</v>
      </c>
      <c r="CK8" s="6">
        <f>INDEX(t_B4n3_Fixed[Offset],MATCH($A$34,t_B4n3[x],0),1)</f>
        <v>-4</v>
      </c>
      <c r="CL8" s="6">
        <v>1</v>
      </c>
      <c r="CM8" s="6">
        <v>28</v>
      </c>
      <c r="CN8" s="308" t="s">
        <v>331</v>
      </c>
      <c r="CO8" s="25" t="s">
        <v>0</v>
      </c>
      <c r="CP8" s="17"/>
      <c r="CQ8" s="139">
        <f>t_B4n3_AB9[[#This Row],[Offset]]-CR7</f>
        <v>9</v>
      </c>
      <c r="CR8" s="6">
        <f>INDEX(t_B4n3_Fixed[Offset],MATCH($A$33,t_B4n3[x],0),1)</f>
        <v>-5</v>
      </c>
      <c r="CS8" s="6">
        <v>3</v>
      </c>
      <c r="CT8" s="6">
        <v>26</v>
      </c>
      <c r="CU8" s="366" t="s">
        <v>330</v>
      </c>
      <c r="CV8" s="25" t="s">
        <v>0</v>
      </c>
      <c r="CW8" s="17"/>
      <c r="CX8" s="139">
        <f>t_B4n3_AB10[[#This Row],[Offset]]-CY7</f>
        <v>6</v>
      </c>
      <c r="CY8" s="6">
        <f>INDEX(t_B4n3_Fixed[Offset],MATCH($A$35,t_B4n3[x],0),1)</f>
        <v>-3</v>
      </c>
      <c r="CZ8" s="6">
        <v>4</v>
      </c>
      <c r="DA8" s="6">
        <v>26</v>
      </c>
      <c r="DB8" s="369" t="s">
        <v>332</v>
      </c>
      <c r="DC8" s="25" t="s">
        <v>0</v>
      </c>
      <c r="DD8" s="17"/>
      <c r="DE8" s="139">
        <f>t_B4n3_AB11[[#This Row],[Offset]]-DF7</f>
        <v>6</v>
      </c>
      <c r="DF8" s="6">
        <f>INDEX(t_B4n3_Fixed[Offset],MATCH($A$25,t_B4n3[x],0),1)</f>
        <v>-13</v>
      </c>
      <c r="DG8" s="6">
        <v>4</v>
      </c>
      <c r="DH8" s="6">
        <v>26</v>
      </c>
      <c r="DI8" s="371" t="s">
        <v>322</v>
      </c>
      <c r="DJ8" s="25" t="s">
        <v>0</v>
      </c>
      <c r="DK8" s="17"/>
      <c r="DL8" s="139">
        <f>t_B4n3_AB12[[#This Row],[Offset]]-DM7</f>
        <v>1</v>
      </c>
      <c r="DM8" s="140">
        <f>INDEX(t_B4n3_Fixed[Offset],MATCH($A$32,t_B4n3[x],0),1)</f>
        <v>-6</v>
      </c>
      <c r="DN8" s="6">
        <v>3</v>
      </c>
      <c r="DO8" s="6">
        <v>26</v>
      </c>
      <c r="DP8" s="312" t="s">
        <v>329</v>
      </c>
      <c r="DQ8" s="25" t="s">
        <v>0</v>
      </c>
    </row>
    <row r="9" spans="1:132" ht="15.75" thickBot="1" x14ac:dyDescent="0.3">
      <c r="A9" s="1">
        <v>3</v>
      </c>
      <c r="B9" s="9">
        <f>ROUNDUP(t_B4n3_Fixed[[#This Row],[Row]]-$B$4,0)</f>
        <v>-29</v>
      </c>
      <c r="C9" s="12">
        <f>t_B4n3[[#This Row],[x]]-D8</f>
        <v>1</v>
      </c>
      <c r="D9" s="9">
        <v>3</v>
      </c>
      <c r="E9" s="73">
        <f>MOD(INT(t_B4n3[[#This Row],[x]]/$B$1^INT(RIGHT(t_B4n3[[#Headers],[b2]],1))),$B$1)</f>
        <v>0</v>
      </c>
      <c r="F9" s="73">
        <f>MOD(INT(t_B4n3[[#This Row],[x]]/$B$1^INT(RIGHT(t_B4n3[[#Headers],[b1]],1))),$B$1)</f>
        <v>0</v>
      </c>
      <c r="G9" s="74">
        <f>MOD(INT(t_B4n3[[#This Row],[x]]/$B$1^INT(RIGHT(t_B4n3[[#Headers],[b0]],1))),$B$1)</f>
        <v>3</v>
      </c>
      <c r="H9" s="13"/>
      <c r="J9" s="36" t="s">
        <v>17</v>
      </c>
      <c r="K9" s="37">
        <v>10</v>
      </c>
      <c r="L9"/>
      <c r="M9" s="90" t="s">
        <v>39</v>
      </c>
      <c r="N9" s="96" t="s">
        <v>40</v>
      </c>
      <c r="P9" s="91" t="s">
        <v>41</v>
      </c>
      <c r="Q9" s="97" t="s">
        <v>42</v>
      </c>
      <c r="S9" s="92" t="s">
        <v>43</v>
      </c>
      <c r="T9" s="183" t="s">
        <v>44</v>
      </c>
      <c r="V9" s="93" t="s">
        <v>45</v>
      </c>
      <c r="W9" s="99" t="s">
        <v>46</v>
      </c>
      <c r="Y9" s="94" t="s">
        <v>47</v>
      </c>
      <c r="Z9" s="100" t="s">
        <v>48</v>
      </c>
      <c r="AB9" s="180" t="s">
        <v>49</v>
      </c>
      <c r="AC9" s="102" t="s">
        <v>50</v>
      </c>
      <c r="AE9" s="103" t="s">
        <v>51</v>
      </c>
      <c r="AF9" s="182" t="s">
        <v>52</v>
      </c>
      <c r="AH9" s="104" t="s">
        <v>53</v>
      </c>
      <c r="AI9" s="101" t="s">
        <v>54</v>
      </c>
      <c r="AK9" s="106" t="s">
        <v>177</v>
      </c>
      <c r="AL9" s="105" t="s">
        <v>178</v>
      </c>
      <c r="AN9" s="109" t="s">
        <v>179</v>
      </c>
      <c r="AO9" s="110" t="s">
        <v>180</v>
      </c>
      <c r="AQ9" s="17"/>
      <c r="AR9" s="17"/>
      <c r="AS9" s="17"/>
      <c r="AT9" s="17"/>
      <c r="AW9" s="17"/>
      <c r="AX9" s="17"/>
      <c r="AY9" s="17"/>
      <c r="AZ9" s="17"/>
      <c r="BB9" s="17"/>
      <c r="BC9" s="139">
        <f>t_B4n3_AB3[[#This Row],[Offset]]-BD8</f>
        <v>32</v>
      </c>
      <c r="BD9" s="139">
        <f>INDEX(t_B4n3_Fixed[Offset],MATCH($A$53,t_B4n3[x],0),1)</f>
        <v>16</v>
      </c>
      <c r="BE9" s="139">
        <v>47</v>
      </c>
      <c r="BF9" s="273" t="s">
        <v>350</v>
      </c>
      <c r="BG9" s="16"/>
      <c r="BH9" s="17"/>
      <c r="BI9" s="139">
        <f>t_B4n3_AB4[[#This Row],[Offset]]-BJ8</f>
        <v>2</v>
      </c>
      <c r="BJ9" s="139">
        <f>INDEX(t_B4n3_Fixed[Offset],MATCH($A$38,t_B4n3[x],0),1)</f>
        <v>1</v>
      </c>
      <c r="BK9" s="139">
        <v>2</v>
      </c>
      <c r="BL9" s="139">
        <v>32</v>
      </c>
      <c r="BM9" s="274" t="s">
        <v>335</v>
      </c>
      <c r="BN9" s="16"/>
      <c r="BO9" s="17"/>
      <c r="BP9" s="139">
        <f>t_B4n3_AB5[[#This Row],[Offset]]-BQ8</f>
        <v>34</v>
      </c>
      <c r="BQ9" s="139">
        <f>INDEX(t_B4n3_Fixed[Offset],MATCH($A$54,t_B4n3[x],0),1)</f>
        <v>17</v>
      </c>
      <c r="BR9" s="139">
        <v>2</v>
      </c>
      <c r="BS9" s="139">
        <v>48</v>
      </c>
      <c r="BT9" s="276" t="s">
        <v>351</v>
      </c>
      <c r="BU9" s="16"/>
      <c r="BV9" s="17"/>
      <c r="BW9" s="139">
        <f>t_B4n3_AB6[[#This Row],[Offset]]-BX8</f>
        <v>24</v>
      </c>
      <c r="BX9" s="139">
        <f>INDEX(t_B4n3_Fixed[Offset],MATCH($A$49,t_B4n3[x],0),1)</f>
        <v>12</v>
      </c>
      <c r="BY9" s="139">
        <v>43</v>
      </c>
      <c r="BZ9" s="278" t="s">
        <v>346</v>
      </c>
      <c r="CA9" s="16"/>
      <c r="CB9" s="17"/>
      <c r="CC9" s="139">
        <f>t_B4n3_AB7[[#This Row],[Offset]]-CD8</f>
        <v>4</v>
      </c>
      <c r="CD9" s="139">
        <f>INDEX(t_B4n3_Fixed[Offset],MATCH($A$39,t_B4n3[x],0),1)</f>
        <v>2</v>
      </c>
      <c r="CE9" s="139">
        <v>2</v>
      </c>
      <c r="CF9" s="139">
        <v>33</v>
      </c>
      <c r="CG9" s="365" t="s">
        <v>336</v>
      </c>
      <c r="CH9" s="16"/>
      <c r="CI9" s="17"/>
      <c r="CJ9" s="230">
        <f>t_B4n3_AB8[[#This Row],[Offset]]-CK8</f>
        <v>8</v>
      </c>
      <c r="CK9" s="139">
        <f>INDEX(t_B4n3_Fixed[Offset],MATCH($A$41,t_B4n3[x],0),1)</f>
        <v>4</v>
      </c>
      <c r="CL9" s="139">
        <v>4</v>
      </c>
      <c r="CM9" s="139">
        <v>35</v>
      </c>
      <c r="CN9" s="267" t="s">
        <v>338</v>
      </c>
      <c r="CO9" s="16"/>
      <c r="CP9" s="17"/>
      <c r="CQ9" s="139">
        <f>t_B4n3_AB9[[#This Row],[Offset]]-CR8</f>
        <v>10</v>
      </c>
      <c r="CR9" s="139">
        <f>INDEX(t_B4n3_Fixed[Offset],MATCH($A$42,t_B4n3[x],0),1)</f>
        <v>5</v>
      </c>
      <c r="CS9" s="139">
        <v>2</v>
      </c>
      <c r="CT9" s="139">
        <v>37</v>
      </c>
      <c r="CU9" s="367" t="s">
        <v>339</v>
      </c>
      <c r="CV9" s="16"/>
      <c r="CW9" s="17"/>
      <c r="CX9" s="139">
        <f>t_B4n3_AB10[[#This Row],[Offset]]-CY8</f>
        <v>6</v>
      </c>
      <c r="CY9" s="139">
        <f>INDEX(t_B4n3_Fixed[Offset],MATCH($A$40,t_B4n3[x],0),1)</f>
        <v>3</v>
      </c>
      <c r="CZ9" s="139">
        <v>1</v>
      </c>
      <c r="DA9" s="139">
        <v>37</v>
      </c>
      <c r="DB9" s="368" t="s">
        <v>337</v>
      </c>
      <c r="DC9" s="16"/>
      <c r="DD9" s="17"/>
      <c r="DE9" s="139">
        <f>t_B4n3_AB11[[#This Row],[Offset]]-DF8</f>
        <v>26</v>
      </c>
      <c r="DF9" s="139">
        <f>INDEX(t_B4n3_Fixed[Offset],MATCH($A$50,t_B4n3[x],0),1)</f>
        <v>13</v>
      </c>
      <c r="DG9" s="139">
        <v>1</v>
      </c>
      <c r="DH9" s="139">
        <v>37</v>
      </c>
      <c r="DI9" s="370" t="s">
        <v>347</v>
      </c>
      <c r="DJ9" s="16"/>
      <c r="DK9" s="17"/>
      <c r="DL9" s="139">
        <f>t_B4n3_AB12[[#This Row],[Offset]]-DM8</f>
        <v>12</v>
      </c>
      <c r="DM9" s="139">
        <f>INDEX(t_B4n3_Fixed[Offset],MATCH($A$43,t_B4n3[x],0),1)</f>
        <v>6</v>
      </c>
      <c r="DN9" s="139">
        <v>2</v>
      </c>
      <c r="DO9" s="139">
        <v>37</v>
      </c>
      <c r="DP9" s="232" t="s">
        <v>340</v>
      </c>
      <c r="DQ9" s="16"/>
    </row>
    <row r="10" spans="1:132" x14ac:dyDescent="0.25">
      <c r="A10" s="1">
        <v>4</v>
      </c>
      <c r="B10" s="9">
        <f>ROUNDUP(t_B4n3_Fixed[[#This Row],[Row]]-$B$4,0)</f>
        <v>-28</v>
      </c>
      <c r="C10" s="12">
        <f>t_B4n3[[#This Row],[x]]-D9</f>
        <v>1</v>
      </c>
      <c r="D10" s="1">
        <v>4</v>
      </c>
      <c r="E10" s="42">
        <f>MOD(INT(t_B4n3[[#This Row],[x]]/$B$1^INT(RIGHT(t_B4n3[[#Headers],[b2]],1))),$B$1)</f>
        <v>0</v>
      </c>
      <c r="F10" s="42">
        <f>MOD(INT(t_B4n3[[#This Row],[x]]/$B$1^INT(RIGHT(t_B4n3[[#Headers],[b1]],1))),$B$1)</f>
        <v>1</v>
      </c>
      <c r="G10" s="43">
        <f>MOD(INT(t_B4n3[[#This Row],[x]]/$B$1^INT(RIGHT(t_B4n3[[#Headers],[b0]],1))),$B$1)</f>
        <v>0</v>
      </c>
      <c r="H10" s="13"/>
      <c r="J10" s="113" t="s">
        <v>15</v>
      </c>
      <c r="K10" s="114">
        <f>SUM(K8:K9)</f>
        <v>12</v>
      </c>
      <c r="L10"/>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Q10" s="17"/>
      <c r="AR10" s="17"/>
      <c r="AS10" s="17"/>
      <c r="AT10" s="17"/>
      <c r="AW10" s="17"/>
      <c r="AX10" s="17"/>
      <c r="AY10" s="17"/>
      <c r="AZ10" s="17"/>
      <c r="BB10" s="17"/>
      <c r="BC10" s="139">
        <f>t_B4n3_AB3[[#This Row],[Offset]]-BD9</f>
        <v>12</v>
      </c>
      <c r="BD10" s="139">
        <f>INDEX(t_B4n3_Fixed[Offset],MATCH($A$65,t_B4n3[x],0),1)</f>
        <v>28</v>
      </c>
      <c r="BE10" s="139">
        <v>59</v>
      </c>
      <c r="BF10" s="273" t="s">
        <v>362</v>
      </c>
      <c r="BG10" s="16"/>
      <c r="BH10" s="17"/>
      <c r="BI10" s="139">
        <f>t_B4n3_AB4[[#This Row],[Offset]]-BJ9</f>
        <v>23</v>
      </c>
      <c r="BJ10" s="139">
        <f>INDEX(t_B4n3_Fixed[Offset],MATCH($A$61,t_B4n3[x],0),1)</f>
        <v>24</v>
      </c>
      <c r="BK10" s="139">
        <v>4</v>
      </c>
      <c r="BL10" s="139">
        <v>55</v>
      </c>
      <c r="BM10" s="275" t="s">
        <v>358</v>
      </c>
      <c r="BN10" s="16"/>
      <c r="BO10" s="17"/>
      <c r="BP10" s="139">
        <f>t_B4n3_AB5[[#This Row],[Offset]]-BQ9</f>
        <v>3</v>
      </c>
      <c r="BQ10" s="139">
        <f>INDEX(t_B4n3_Fixed[Offset],MATCH($A$57,t_B4n3[x],0),1)</f>
        <v>20</v>
      </c>
      <c r="BR10" s="139">
        <v>4</v>
      </c>
      <c r="BS10" s="139">
        <v>51</v>
      </c>
      <c r="BT10" s="226" t="s">
        <v>354</v>
      </c>
      <c r="BU10" s="16"/>
      <c r="BV10" s="17"/>
      <c r="BW10" s="139">
        <f>t_B4n3_AB6[[#This Row],[Offset]]-BX9</f>
        <v>3</v>
      </c>
      <c r="BX10" s="139">
        <f>INDEX(t_B4n3_Fixed[Offset],MATCH($A$52,t_B4n3[x],0),1)</f>
        <v>15</v>
      </c>
      <c r="BY10" s="139">
        <v>46</v>
      </c>
      <c r="BZ10" s="278" t="s">
        <v>349</v>
      </c>
      <c r="CA10" s="16"/>
      <c r="CB10" s="17"/>
      <c r="CC10" s="139">
        <f>t_B4n3_AB7[[#This Row],[Offset]]-CD9</f>
        <v>6</v>
      </c>
      <c r="CD10" s="139">
        <f>INDEX(t_B4n3_Fixed[Offset],MATCH($A$45,t_B4n3[x],0),1)</f>
        <v>8</v>
      </c>
      <c r="CE10" s="139">
        <v>4</v>
      </c>
      <c r="CF10" s="139">
        <v>39</v>
      </c>
      <c r="CG10" s="240" t="s">
        <v>342</v>
      </c>
      <c r="CH10" s="16"/>
      <c r="CI10" s="17"/>
      <c r="CJ10" s="230">
        <f>t_B4n3_AB8[[#This Row],[Offset]]-CK9</f>
        <v>14</v>
      </c>
      <c r="CK10" s="139">
        <f>INDEX(t_B4n3_Fixed[Offset],MATCH($A$55,t_B4n3[x],0),1)</f>
        <v>18</v>
      </c>
      <c r="CL10" s="139">
        <v>2</v>
      </c>
      <c r="CM10" s="139">
        <v>49</v>
      </c>
      <c r="CN10" s="242" t="s">
        <v>352</v>
      </c>
      <c r="CO10" s="16"/>
      <c r="CP10" s="17"/>
      <c r="CQ10" s="139">
        <f>t_B4n3_AB9[[#This Row],[Offset]]-CR9</f>
        <v>9</v>
      </c>
      <c r="CR10" s="139">
        <f>INDEX(t_B4n3_Fixed[Offset],MATCH($A$51,t_B4n3[x],0),1)</f>
        <v>14</v>
      </c>
      <c r="CS10" s="139">
        <v>4</v>
      </c>
      <c r="CT10" s="139">
        <v>38</v>
      </c>
      <c r="CU10" s="246" t="s">
        <v>348</v>
      </c>
      <c r="CV10" s="16"/>
      <c r="CW10" s="17"/>
      <c r="CX10" s="139">
        <f>t_B4n3_AB10[[#This Row],[Offset]]-CY9</f>
        <v>6</v>
      </c>
      <c r="CY10" s="139">
        <f>INDEX(t_B4n3_Fixed[Offset],MATCH($A$46,t_B4n3[x],0),1)</f>
        <v>9</v>
      </c>
      <c r="CZ10" s="139">
        <v>2</v>
      </c>
      <c r="DA10" s="139">
        <v>38</v>
      </c>
      <c r="DB10" s="248" t="s">
        <v>343</v>
      </c>
      <c r="DC10" s="16"/>
      <c r="DD10" s="17"/>
      <c r="DE10" s="139">
        <f>t_B4n3_AB11[[#This Row],[Offset]]-DF9</f>
        <v>6</v>
      </c>
      <c r="DF10" s="139">
        <f>INDEX(t_B4n3_Fixed[Offset],MATCH($A$56,t_B4n3[x],0),1)</f>
        <v>19</v>
      </c>
      <c r="DG10" s="139">
        <v>2</v>
      </c>
      <c r="DH10" s="139">
        <v>38</v>
      </c>
      <c r="DI10" s="251" t="s">
        <v>353</v>
      </c>
      <c r="DJ10" s="16"/>
      <c r="DK10" s="17"/>
      <c r="DL10" s="139">
        <f>t_B4n3_AB12[[#This Row],[Offset]]-DM9</f>
        <v>1</v>
      </c>
      <c r="DM10" s="139">
        <f>INDEX(t_B4n3_Fixed[Offset],MATCH($A$44,t_B4n3[x],0),1)</f>
        <v>7</v>
      </c>
      <c r="DN10" s="139">
        <v>4</v>
      </c>
      <c r="DO10" s="139">
        <v>38</v>
      </c>
      <c r="DP10" s="280" t="s">
        <v>341</v>
      </c>
      <c r="DQ10" s="16"/>
    </row>
    <row r="11" spans="1:132" ht="15.75" thickBot="1" x14ac:dyDescent="0.3">
      <c r="A11" s="1">
        <v>5</v>
      </c>
      <c r="B11" s="9">
        <f>ROUNDUP(t_B4n3_Fixed[[#This Row],[Row]]-$B$4,0)</f>
        <v>-27</v>
      </c>
      <c r="C11" s="12">
        <f>t_B4n3[[#This Row],[x]]-D10</f>
        <v>1</v>
      </c>
      <c r="D11" s="9">
        <v>5</v>
      </c>
      <c r="E11" s="48">
        <f>MOD(INT(t_B4n3[[#This Row],[x]]/$B$1^INT(RIGHT(t_B4n3[[#Headers],[b2]],1))),$B$1)</f>
        <v>0</v>
      </c>
      <c r="F11" s="48">
        <f>MOD(INT(t_B4n3[[#This Row],[x]]/$B$1^INT(RIGHT(t_B4n3[[#Headers],[b1]],1))),$B$1)</f>
        <v>1</v>
      </c>
      <c r="G11" s="49">
        <f>MOD(INT(t_B4n3[[#This Row],[x]]/$B$1^INT(RIGHT(t_B4n3[[#Headers],[b0]],1))),$B$1)</f>
        <v>1</v>
      </c>
      <c r="H11" s="13"/>
      <c r="J11" s="115" t="s">
        <v>16</v>
      </c>
      <c r="K11" s="117">
        <v>24</v>
      </c>
      <c r="L11"/>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Q11" s="17"/>
      <c r="AR11" s="17"/>
      <c r="AS11" s="17"/>
      <c r="AT11" s="17"/>
      <c r="AW11" s="17"/>
      <c r="AX11" s="17"/>
      <c r="AY11" s="17"/>
      <c r="AZ11" s="17"/>
      <c r="BB11" s="17"/>
      <c r="BC11" s="139">
        <f>t_B4n3_AB3[[#This Row],[Offset]]-BD10</f>
        <v>3</v>
      </c>
      <c r="BD11" s="139">
        <f>INDEX(t_B4n3_Fixed[Offset],MATCH($A$68,t_B4n3[x],0),1)</f>
        <v>31</v>
      </c>
      <c r="BE11" s="139">
        <v>62</v>
      </c>
      <c r="BF11" s="273" t="s">
        <v>365</v>
      </c>
      <c r="BG11" s="16"/>
      <c r="BH11" s="17"/>
      <c r="BI11" s="139">
        <f>t_B4n3_AB4[[#This Row],[Offset]]-BJ10</f>
        <v>6</v>
      </c>
      <c r="BJ11" s="139">
        <f>INDEX(t_B4n3_Fixed[Offset],MATCH($A$67,t_B4n3[x],0),1)</f>
        <v>30</v>
      </c>
      <c r="BK11" s="139">
        <v>5</v>
      </c>
      <c r="BL11" s="139">
        <v>61</v>
      </c>
      <c r="BM11" s="275" t="s">
        <v>364</v>
      </c>
      <c r="BN11" s="16"/>
      <c r="BO11" s="17"/>
      <c r="BP11" s="139">
        <f>t_B4n3_AB5[[#This Row],[Offset]]-BQ10</f>
        <v>9</v>
      </c>
      <c r="BQ11" s="139">
        <f>INDEX(t_B4n3_Fixed[Offset],MATCH($A$66,t_B4n3[x],0),1)</f>
        <v>29</v>
      </c>
      <c r="BR11" s="139">
        <v>5</v>
      </c>
      <c r="BS11" s="139">
        <v>60</v>
      </c>
      <c r="BT11" s="226" t="s">
        <v>363</v>
      </c>
      <c r="BU11" s="16"/>
      <c r="BV11" s="17"/>
      <c r="BW11" s="139">
        <f>t_B4n3_AB6[[#This Row],[Offset]]-BX10</f>
        <v>12</v>
      </c>
      <c r="BX11" s="139">
        <f>INDEX(t_B4n3_Fixed[Offset],MATCH($A$64,t_B4n3[x],0),1)</f>
        <v>27</v>
      </c>
      <c r="BY11" s="139">
        <v>5</v>
      </c>
      <c r="BZ11" s="278" t="s">
        <v>361</v>
      </c>
      <c r="CA11" s="16"/>
      <c r="CB11" s="17"/>
      <c r="CC11" s="139">
        <f>t_B4n3_AB7[[#This Row],[Offset]]-CD10</f>
        <v>18</v>
      </c>
      <c r="CD11" s="139">
        <f>INDEX(t_B4n3_Fixed[Offset],MATCH($A$63,t_B4n3[x],0),1)</f>
        <v>26</v>
      </c>
      <c r="CE11" s="139">
        <v>5</v>
      </c>
      <c r="CF11" s="139">
        <v>57</v>
      </c>
      <c r="CG11" s="240" t="s">
        <v>360</v>
      </c>
      <c r="CH11" s="16"/>
      <c r="CI11" s="17"/>
      <c r="CJ11" s="231">
        <f>t_B4n3_AB8[[#This Row],[Offset]]-CK10</f>
        <v>7</v>
      </c>
      <c r="CK11" s="139">
        <f>INDEX(t_B4n3_Fixed[Offset],MATCH($A$62,t_B4n3[x],0),1)</f>
        <v>25</v>
      </c>
      <c r="CL11" s="139">
        <v>5</v>
      </c>
      <c r="CM11" s="139">
        <v>56</v>
      </c>
      <c r="CN11" s="243" t="s">
        <v>359</v>
      </c>
      <c r="CO11" s="16"/>
      <c r="CP11" s="17"/>
      <c r="CQ11" s="139">
        <f>t_B4n3_AB9[[#This Row],[Offset]]-CR10</f>
        <v>9</v>
      </c>
      <c r="CR11" s="139">
        <f>INDEX(t_B4n3_Fixed[Offset],MATCH($A$60,t_B4n3[x],0),1)</f>
        <v>23</v>
      </c>
      <c r="CS11" s="139">
        <v>5</v>
      </c>
      <c r="CT11" s="139">
        <v>41</v>
      </c>
      <c r="CU11" s="246" t="s">
        <v>357</v>
      </c>
      <c r="CV11" s="16"/>
      <c r="CW11" s="17"/>
      <c r="CX11" s="139">
        <f>t_B4n3_AB10[[#This Row],[Offset]]-CY10</f>
        <v>13</v>
      </c>
      <c r="CY11" s="139">
        <f>INDEX(t_B4n3_Fixed[Offset],MATCH($A$59,t_B4n3[x],0),1)</f>
        <v>22</v>
      </c>
      <c r="CZ11" s="139">
        <v>5</v>
      </c>
      <c r="DA11" s="139">
        <v>41</v>
      </c>
      <c r="DB11" s="249" t="s">
        <v>356</v>
      </c>
      <c r="DC11" s="16"/>
      <c r="DD11" s="17"/>
      <c r="DE11" s="139">
        <f>t_B4n3_AB11[[#This Row],[Offset]]-DF10</f>
        <v>2</v>
      </c>
      <c r="DF11" s="139">
        <f>INDEX(t_B4n3_Fixed[Offset],MATCH($A$58,t_B4n3[x],0),1)</f>
        <v>21</v>
      </c>
      <c r="DG11" s="139">
        <v>5</v>
      </c>
      <c r="DH11" s="139">
        <v>41</v>
      </c>
      <c r="DI11" s="252" t="s">
        <v>355</v>
      </c>
      <c r="DJ11" s="16"/>
      <c r="DK11" s="17"/>
      <c r="DL11" s="139">
        <f>t_B4n3_AB12[[#This Row],[Offset]]-DM10</f>
        <v>3</v>
      </c>
      <c r="DM11" s="139">
        <f>INDEX(t_B4n3_Fixed[Offset],MATCH($A$47,t_B4n3[x],0),1)</f>
        <v>10</v>
      </c>
      <c r="DN11" s="139">
        <v>5</v>
      </c>
      <c r="DO11" s="139">
        <v>41</v>
      </c>
      <c r="DP11" s="280" t="s">
        <v>344</v>
      </c>
      <c r="DQ11" s="16"/>
    </row>
    <row r="12" spans="1:132" x14ac:dyDescent="0.25">
      <c r="A12" s="1">
        <v>6</v>
      </c>
      <c r="B12" s="9">
        <f>ROUNDUP(t_B4n3_Fixed[[#This Row],[Row]]-$B$4,0)</f>
        <v>-26</v>
      </c>
      <c r="C12" s="12">
        <f>t_B4n3[[#This Row],[x]]-D11</f>
        <v>1</v>
      </c>
      <c r="D12" s="139">
        <v>6</v>
      </c>
      <c r="E12" s="50">
        <f>MOD(INT(t_B4n3[[#This Row],[x]]/$B$1^INT(RIGHT(t_B4n3[[#Headers],[b2]],1))),$B$1)</f>
        <v>0</v>
      </c>
      <c r="F12" s="50">
        <f>MOD(INT(t_B4n3[[#This Row],[x]]/$B$1^INT(RIGHT(t_B4n3[[#Headers],[b1]],1))),$B$1)</f>
        <v>1</v>
      </c>
      <c r="G12" s="51">
        <f>MOD(INT(t_B4n3[[#This Row],[x]]/$B$1^INT(RIGHT(t_B4n3[[#Headers],[b0]],1))),$B$1)</f>
        <v>2</v>
      </c>
      <c r="H12" s="13"/>
      <c r="K12" s="9"/>
      <c r="L12" s="9"/>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Q12" s="17"/>
      <c r="AR12" s="17"/>
      <c r="AS12" s="17"/>
      <c r="AT12" s="17"/>
      <c r="AW12" s="17"/>
      <c r="AX12" s="17"/>
      <c r="AY12" s="17"/>
      <c r="AZ12" s="17"/>
      <c r="BB12" s="17"/>
      <c r="BC12" s="17"/>
      <c r="BD12" s="17"/>
      <c r="BE12" s="17"/>
      <c r="BF12" s="17"/>
      <c r="BG12" s="16"/>
      <c r="BH12" s="17"/>
      <c r="BI12" s="17"/>
      <c r="BJ12" s="17"/>
      <c r="BK12" s="17"/>
      <c r="BM12" s="17"/>
      <c r="BN12" s="16"/>
      <c r="BO12" s="17"/>
      <c r="BP12" s="17"/>
      <c r="BQ12" s="17"/>
      <c r="BR12" s="17"/>
      <c r="BT12" s="17"/>
      <c r="BU12" s="16"/>
      <c r="BV12" s="17"/>
      <c r="BW12" s="17"/>
      <c r="BX12" s="17"/>
      <c r="BY12" s="17"/>
      <c r="BZ12" s="17"/>
      <c r="CA12" s="16"/>
      <c r="CB12" s="17"/>
      <c r="CC12" s="17"/>
      <c r="CH12" s="16"/>
      <c r="CI12" s="17"/>
      <c r="CJ12" s="17"/>
      <c r="CO12" s="16"/>
      <c r="CP12" s="17"/>
      <c r="CQ12" s="17"/>
      <c r="CV12" s="16"/>
      <c r="CW12" s="17"/>
      <c r="CX12" s="17"/>
      <c r="DC12" s="16"/>
      <c r="DJ12" s="16"/>
      <c r="DK12" s="17"/>
      <c r="DL12" s="17"/>
      <c r="DM12" s="17"/>
      <c r="DN12" s="17"/>
      <c r="DP12" s="17"/>
      <c r="DQ12" s="16"/>
    </row>
    <row r="13" spans="1:132" x14ac:dyDescent="0.25">
      <c r="A13" s="1">
        <v>7</v>
      </c>
      <c r="B13" s="9">
        <f>ROUNDUP(t_B4n3_Fixed[[#This Row],[Row]]-$B$4,0)</f>
        <v>-25</v>
      </c>
      <c r="C13" s="12">
        <f>t_B4n3[[#This Row],[x]]-D12</f>
        <v>1</v>
      </c>
      <c r="D13" s="139">
        <v>7</v>
      </c>
      <c r="E13" s="83">
        <f>MOD(INT(t_B4n3[[#This Row],[x]]/$B$1^INT(RIGHT(t_B4n3[[#Headers],[b2]],1))),$B$1)</f>
        <v>0</v>
      </c>
      <c r="F13" s="83">
        <f>MOD(INT(t_B4n3[[#This Row],[x]]/$B$1^INT(RIGHT(t_B4n3[[#Headers],[b1]],1))),$B$1)</f>
        <v>1</v>
      </c>
      <c r="G13" s="84">
        <f>MOD(INT(t_B4n3[[#This Row],[x]]/$B$1^INT(RIGHT(t_B4n3[[#Headers],[b0]],1))),$B$1)</f>
        <v>3</v>
      </c>
      <c r="H13" s="13"/>
      <c r="K13" s="9"/>
      <c r="L13" s="9"/>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Q13" s="17"/>
      <c r="AR13" s="17"/>
      <c r="AS13" s="17"/>
      <c r="AT13" s="17"/>
      <c r="AW13" s="17"/>
      <c r="AX13" s="17"/>
      <c r="AY13" s="17"/>
      <c r="AZ13" s="17"/>
      <c r="BB13" s="17"/>
      <c r="BC13" s="17"/>
      <c r="BD13" s="17"/>
      <c r="BE13" s="17"/>
      <c r="BF13" s="17"/>
      <c r="BG13" s="16"/>
      <c r="BH13" s="17"/>
      <c r="BI13" s="17"/>
      <c r="BJ13" s="17"/>
      <c r="BK13" s="17"/>
      <c r="BM13" s="17"/>
      <c r="BN13" s="16"/>
      <c r="BO13" s="17"/>
      <c r="BP13" s="17"/>
      <c r="BQ13" s="17"/>
      <c r="BR13" s="17"/>
      <c r="BT13" s="17"/>
      <c r="BU13" s="16"/>
      <c r="BV13" s="17"/>
      <c r="BW13" s="17"/>
      <c r="BX13" s="17"/>
      <c r="BY13" s="17"/>
      <c r="BZ13" s="17"/>
      <c r="CA13" s="16"/>
      <c r="CB13" s="17"/>
      <c r="CC13" s="17"/>
      <c r="CD13" s="17"/>
      <c r="CE13" s="17"/>
      <c r="CG13" s="17"/>
      <c r="CH13" s="16"/>
      <c r="CI13" s="17"/>
      <c r="CJ13" s="17"/>
      <c r="CK13" s="17"/>
      <c r="CL13" s="17"/>
      <c r="CN13" s="17"/>
      <c r="CO13" s="16"/>
      <c r="CP13" s="17"/>
      <c r="CQ13" s="17"/>
      <c r="CR13" s="17"/>
      <c r="CS13" s="17"/>
      <c r="CU13" s="17"/>
      <c r="CV13" s="16"/>
      <c r="CW13" s="17"/>
      <c r="CX13" s="17"/>
      <c r="CY13" s="17"/>
      <c r="CZ13" s="17"/>
      <c r="DB13" s="17"/>
      <c r="DC13" s="16"/>
      <c r="DD13" s="17"/>
      <c r="DE13" s="17"/>
      <c r="DF13" s="17"/>
      <c r="DG13" s="17"/>
      <c r="DI13" s="17"/>
      <c r="DJ13" s="16"/>
      <c r="DK13" s="17"/>
      <c r="DL13" s="17"/>
      <c r="DM13" s="17"/>
      <c r="DN13" s="17"/>
      <c r="DP13" s="17"/>
      <c r="DQ13" s="16"/>
    </row>
    <row r="14" spans="1:132" x14ac:dyDescent="0.25">
      <c r="A14" s="1">
        <v>8</v>
      </c>
      <c r="B14" s="9">
        <f>ROUNDUP(t_B4n3_Fixed[[#This Row],[Row]]-$B$4,0)</f>
        <v>-24</v>
      </c>
      <c r="C14" s="12">
        <f>t_B4n3[[#This Row],[x]]-D13</f>
        <v>1</v>
      </c>
      <c r="D14" s="139">
        <v>8</v>
      </c>
      <c r="E14" s="44">
        <f>MOD(INT(t_B4n3[[#This Row],[x]]/$B$1^INT(RIGHT(t_B4n3[[#Headers],[b2]],1))),$B$1)</f>
        <v>0</v>
      </c>
      <c r="F14" s="44">
        <f>MOD(INT(t_B4n3[[#This Row],[x]]/$B$1^INT(RIGHT(t_B4n3[[#Headers],[b1]],1))),$B$1)</f>
        <v>2</v>
      </c>
      <c r="G14" s="45">
        <f>MOD(INT(t_B4n3[[#This Row],[x]]/$B$1^INT(RIGHT(t_B4n3[[#Headers],[b0]],1))),$B$1)</f>
        <v>0</v>
      </c>
      <c r="H14" s="13"/>
      <c r="K14" s="9"/>
      <c r="L14" s="9"/>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BG14" s="16"/>
      <c r="BN14" s="16"/>
      <c r="BU14" s="16"/>
      <c r="CA14" s="16"/>
      <c r="CH14" s="16"/>
      <c r="CO14" s="16"/>
      <c r="CV14" s="16"/>
      <c r="DC14" s="16"/>
      <c r="DJ14" s="16"/>
      <c r="DQ14" s="16"/>
    </row>
    <row r="15" spans="1:132" x14ac:dyDescent="0.25">
      <c r="A15" s="1">
        <v>9</v>
      </c>
      <c r="B15" s="9">
        <f>ROUNDUP(t_B4n3_Fixed[[#This Row],[Row]]-$B$4,0)</f>
        <v>-23</v>
      </c>
      <c r="C15" s="12">
        <f>t_B4n3[[#This Row],[x]]-D14</f>
        <v>1</v>
      </c>
      <c r="D15" s="139">
        <v>9</v>
      </c>
      <c r="E15" s="64">
        <f>MOD(INT(t_B4n3[[#This Row],[x]]/$B$1^INT(RIGHT(t_B4n3[[#Headers],[b2]],1))),$B$1)</f>
        <v>0</v>
      </c>
      <c r="F15" s="64">
        <f>MOD(INT(t_B4n3[[#This Row],[x]]/$B$1^INT(RIGHT(t_B4n3[[#Headers],[b1]],1))),$B$1)</f>
        <v>2</v>
      </c>
      <c r="G15" s="65">
        <f>MOD(INT(t_B4n3[[#This Row],[x]]/$B$1^INT(RIGHT(t_B4n3[[#Headers],[b0]],1))),$B$1)</f>
        <v>1</v>
      </c>
      <c r="H15" s="13"/>
      <c r="K15" s="9"/>
      <c r="L15" s="9"/>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Q15" s="17"/>
      <c r="AR15" s="17"/>
      <c r="AS15" s="17"/>
      <c r="AT15" s="17"/>
      <c r="AV15" s="17"/>
      <c r="AW15" s="17"/>
      <c r="AX15" s="17"/>
      <c r="AY15" s="17"/>
      <c r="AZ15" s="17"/>
      <c r="BB15" s="17"/>
      <c r="BC15" s="17"/>
      <c r="BD15" s="17"/>
      <c r="BF15" s="17"/>
      <c r="BG15" s="16"/>
      <c r="BH15" s="17"/>
      <c r="BI15" s="17"/>
      <c r="BJ15" s="17"/>
      <c r="BK15" s="17"/>
      <c r="BM15" s="17"/>
      <c r="BN15" s="16"/>
      <c r="BO15" s="17"/>
      <c r="BP15" s="17"/>
      <c r="BQ15" s="17"/>
      <c r="BR15" s="17"/>
      <c r="BT15" s="17"/>
      <c r="BU15" s="16"/>
      <c r="BV15" s="17"/>
      <c r="BW15" s="17"/>
      <c r="BX15" s="17"/>
      <c r="BY15" s="17"/>
      <c r="BZ15" s="17"/>
      <c r="CA15" s="16"/>
      <c r="CB15" s="17"/>
      <c r="CC15" s="17"/>
      <c r="CD15" s="17"/>
      <c r="CE15" s="17"/>
      <c r="CG15" s="17"/>
      <c r="CH15" s="16"/>
      <c r="CI15" s="17"/>
      <c r="CJ15" s="17"/>
      <c r="CK15" s="17"/>
      <c r="CL15" s="17"/>
      <c r="CN15" s="17"/>
      <c r="CO15" s="16"/>
      <c r="CP15" s="17"/>
      <c r="CQ15" s="17"/>
      <c r="CR15" s="17"/>
      <c r="CS15" s="17"/>
      <c r="CU15" s="17"/>
      <c r="CV15" s="16"/>
      <c r="CW15" s="17"/>
      <c r="CX15" s="17"/>
      <c r="CY15" s="17"/>
      <c r="CZ15" s="17"/>
      <c r="DB15" s="17"/>
      <c r="DC15" s="16"/>
      <c r="DD15" s="17"/>
      <c r="DE15" s="17"/>
      <c r="DF15" s="17"/>
      <c r="DG15" s="17"/>
      <c r="DI15" s="17"/>
      <c r="DJ15" s="16"/>
      <c r="DK15" s="17"/>
      <c r="DL15" s="17"/>
      <c r="DM15" s="17"/>
      <c r="DN15" s="17"/>
      <c r="DP15" s="17"/>
      <c r="DQ15" s="16"/>
      <c r="DR15" s="17"/>
      <c r="DS15" s="17"/>
      <c r="DT15" s="17"/>
      <c r="DU15" s="17"/>
      <c r="DV15" s="17"/>
      <c r="DW15" s="17"/>
      <c r="DX15" s="17"/>
      <c r="DY15" s="17"/>
      <c r="DZ15" s="17"/>
      <c r="EA15" s="17"/>
      <c r="EB15" s="17"/>
    </row>
    <row r="16" spans="1:132" x14ac:dyDescent="0.25">
      <c r="A16" s="1">
        <v>10</v>
      </c>
      <c r="B16" s="9">
        <f>ROUNDUP(t_B4n3_Fixed[[#This Row],[Row]]-$B$4,0)</f>
        <v>-22</v>
      </c>
      <c r="C16" s="12">
        <f>t_B4n3[[#This Row],[x]]-D15</f>
        <v>1</v>
      </c>
      <c r="D16" s="139">
        <v>10</v>
      </c>
      <c r="E16" s="194">
        <f>MOD(INT(t_B4n3[[#This Row],[x]]/$B$1^INT(RIGHT(t_B4n3[[#Headers],[b2]],1))),$B$1)</f>
        <v>0</v>
      </c>
      <c r="F16" s="194">
        <f>MOD(INT(t_B4n3[[#This Row],[x]]/$B$1^INT(RIGHT(t_B4n3[[#Headers],[b1]],1))),$B$1)</f>
        <v>2</v>
      </c>
      <c r="G16" s="195">
        <f>MOD(INT(t_B4n3[[#This Row],[x]]/$B$1^INT(RIGHT(t_B4n3[[#Headers],[b0]],1))),$B$1)</f>
        <v>2</v>
      </c>
      <c r="H16" s="13"/>
      <c r="K16" s="9"/>
      <c r="L16" s="9"/>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Q16" s="17"/>
      <c r="AR16" s="17"/>
      <c r="AS16" s="17"/>
      <c r="AT16" s="17"/>
      <c r="AV16" s="17"/>
      <c r="AW16" s="17"/>
      <c r="AX16" s="17"/>
      <c r="AY16" s="17"/>
      <c r="AZ16" s="17"/>
      <c r="BB16" s="17"/>
      <c r="BC16" s="17"/>
      <c r="BD16" s="17"/>
      <c r="BF16" s="17"/>
      <c r="BG16" s="16"/>
      <c r="BH16" s="17"/>
      <c r="BI16" s="17"/>
      <c r="BJ16" s="17"/>
      <c r="BK16" s="17"/>
      <c r="BM16" s="17"/>
      <c r="BN16" s="16"/>
      <c r="BO16" s="17"/>
      <c r="BP16" s="17"/>
      <c r="BQ16" s="17"/>
      <c r="BR16" s="17"/>
      <c r="BT16" s="17"/>
      <c r="BU16" s="16"/>
      <c r="BV16" s="17"/>
      <c r="BW16" s="17"/>
      <c r="BX16" s="17"/>
      <c r="BY16" s="17"/>
      <c r="BZ16" s="17"/>
      <c r="CA16" s="16"/>
      <c r="CB16" s="17"/>
      <c r="CC16" s="17"/>
      <c r="CD16" s="17"/>
      <c r="CE16" s="17"/>
      <c r="CG16" s="17"/>
      <c r="CH16" s="16"/>
      <c r="CI16" s="17"/>
      <c r="CJ16" s="17"/>
      <c r="CK16" s="17"/>
      <c r="CL16" s="17"/>
      <c r="CN16" s="17"/>
      <c r="CO16" s="16"/>
      <c r="CP16" s="17"/>
      <c r="CQ16" s="17"/>
      <c r="CR16" s="17"/>
      <c r="CS16" s="17"/>
      <c r="CU16" s="17"/>
      <c r="CV16" s="16"/>
      <c r="CW16" s="17"/>
      <c r="CX16" s="17"/>
      <c r="CY16" s="17"/>
      <c r="CZ16" s="17"/>
      <c r="DB16" s="17"/>
      <c r="DC16" s="16"/>
      <c r="DD16" s="17"/>
      <c r="DE16" s="17"/>
      <c r="DF16" s="17"/>
      <c r="DG16" s="17"/>
      <c r="DI16" s="17"/>
      <c r="DJ16" s="16"/>
      <c r="DK16" s="17"/>
      <c r="DL16" s="17"/>
      <c r="DM16" s="17"/>
      <c r="DN16" s="17"/>
      <c r="DP16" s="17"/>
      <c r="DQ16" s="16"/>
      <c r="DR16" s="17"/>
      <c r="DS16" s="17"/>
      <c r="DT16" s="17"/>
      <c r="DU16" s="17"/>
      <c r="DV16" s="17"/>
      <c r="DW16" s="17"/>
      <c r="DX16" s="17"/>
      <c r="DY16" s="17"/>
      <c r="DZ16" s="17"/>
      <c r="EA16" s="17"/>
      <c r="EB16" s="17"/>
    </row>
    <row r="17" spans="1:132" x14ac:dyDescent="0.25">
      <c r="A17" s="1">
        <v>11</v>
      </c>
      <c r="B17" s="9">
        <f>ROUNDUP(t_B4n3_Fixed[[#This Row],[Row]]-$B$4,0)</f>
        <v>-21</v>
      </c>
      <c r="C17" s="12">
        <f>t_B4n3[[#This Row],[x]]-D16</f>
        <v>1</v>
      </c>
      <c r="D17" s="139">
        <v>11</v>
      </c>
      <c r="E17" s="68">
        <f>MOD(INT(t_B4n3[[#This Row],[x]]/$B$1^INT(RIGHT(t_B4n3[[#Headers],[b2]],1))),$B$1)</f>
        <v>0</v>
      </c>
      <c r="F17" s="68">
        <f>MOD(INT(t_B4n3[[#This Row],[x]]/$B$1^INT(RIGHT(t_B4n3[[#Headers],[b1]],1))),$B$1)</f>
        <v>2</v>
      </c>
      <c r="G17" s="69">
        <f>MOD(INT(t_B4n3[[#This Row],[x]]/$B$1^INT(RIGHT(t_B4n3[[#Headers],[b0]],1))),$B$1)</f>
        <v>3</v>
      </c>
      <c r="H17" s="13"/>
      <c r="K17" s="9"/>
      <c r="L17" s="9"/>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Q17" s="17"/>
      <c r="AR17" s="17"/>
      <c r="AS17" s="17"/>
      <c r="AT17" s="17"/>
      <c r="AV17" s="17"/>
      <c r="AW17" s="17"/>
      <c r="AX17" s="17"/>
      <c r="AY17" s="17"/>
      <c r="AZ17" s="17"/>
      <c r="BB17" s="17"/>
      <c r="BC17" s="17"/>
      <c r="BD17" s="17"/>
      <c r="BF17" s="17"/>
      <c r="BG17" s="16"/>
      <c r="BH17" s="17"/>
      <c r="BI17" s="17"/>
      <c r="BJ17" s="17"/>
      <c r="BK17" s="17"/>
      <c r="BM17" s="17"/>
      <c r="BN17" s="16"/>
      <c r="BO17" s="17"/>
      <c r="BP17" s="17"/>
      <c r="BQ17" s="17"/>
      <c r="BR17" s="17"/>
      <c r="BT17" s="17"/>
      <c r="BU17" s="16"/>
      <c r="BV17" s="17"/>
      <c r="BW17" s="17"/>
      <c r="BX17" s="17"/>
      <c r="BY17" s="17"/>
      <c r="BZ17" s="17"/>
      <c r="CA17" s="16"/>
      <c r="CB17" s="17"/>
      <c r="CC17" s="17"/>
      <c r="CD17" s="17"/>
      <c r="CE17" s="17"/>
      <c r="CG17" s="17"/>
      <c r="CH17" s="16"/>
      <c r="CI17" s="17"/>
      <c r="CJ17" s="17"/>
      <c r="CK17" s="17"/>
      <c r="CL17" s="17"/>
      <c r="CN17" s="17"/>
      <c r="CO17" s="16"/>
      <c r="CP17" s="17"/>
      <c r="CQ17" s="17"/>
      <c r="CR17" s="17"/>
      <c r="CS17" s="17"/>
      <c r="CU17" s="17"/>
      <c r="CV17" s="16"/>
      <c r="CW17" s="17"/>
      <c r="CX17" s="17"/>
      <c r="CY17" s="17"/>
      <c r="CZ17" s="17"/>
      <c r="DB17" s="17"/>
      <c r="DC17" s="16"/>
      <c r="DD17" s="17"/>
      <c r="DE17" s="17"/>
      <c r="DF17" s="17"/>
      <c r="DG17" s="17"/>
      <c r="DI17" s="17"/>
      <c r="DJ17" s="16"/>
      <c r="DK17" s="17"/>
      <c r="DL17" s="17"/>
      <c r="DM17" s="17"/>
      <c r="DN17" s="17"/>
      <c r="DP17" s="17"/>
      <c r="DQ17" s="16"/>
      <c r="DR17" s="17"/>
      <c r="DS17" s="17"/>
      <c r="DT17" s="17"/>
      <c r="DU17" s="17"/>
      <c r="DV17" s="17"/>
      <c r="DW17" s="17"/>
      <c r="DX17" s="17"/>
      <c r="DY17" s="17"/>
      <c r="DZ17" s="17"/>
      <c r="EA17" s="17"/>
      <c r="EB17" s="17"/>
    </row>
    <row r="18" spans="1:132" x14ac:dyDescent="0.25">
      <c r="A18" s="1">
        <v>12</v>
      </c>
      <c r="B18" s="9">
        <f>ROUNDUP(t_B4n3_Fixed[[#This Row],[Row]]-$B$4,0)</f>
        <v>-20</v>
      </c>
      <c r="C18" s="12">
        <f>t_B4n3[[#This Row],[x]]-D17</f>
        <v>1</v>
      </c>
      <c r="D18" s="9">
        <v>12</v>
      </c>
      <c r="E18" s="73">
        <f>MOD(INT(t_B4n3[[#This Row],[x]]/$B$1^INT(RIGHT(t_B4n3[[#Headers],[b2]],1))),$B$1)</f>
        <v>0</v>
      </c>
      <c r="F18" s="73">
        <f>MOD(INT(t_B4n3[[#This Row],[x]]/$B$1^INT(RIGHT(t_B4n3[[#Headers],[b1]],1))),$B$1)</f>
        <v>3</v>
      </c>
      <c r="G18" s="74">
        <f>MOD(INT(t_B4n3[[#This Row],[x]]/$B$1^INT(RIGHT(t_B4n3[[#Headers],[b0]],1))),$B$1)</f>
        <v>0</v>
      </c>
      <c r="H18" s="13"/>
      <c r="K18" s="17"/>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Q18" s="17"/>
      <c r="AR18" s="17"/>
      <c r="AS18" s="17"/>
      <c r="AT18" s="17"/>
      <c r="AV18" s="17"/>
      <c r="AW18" s="17"/>
      <c r="AX18" s="17"/>
      <c r="AY18" s="17"/>
      <c r="AZ18" s="17"/>
      <c r="BB18" s="17"/>
      <c r="BC18" s="17"/>
      <c r="BD18" s="17"/>
      <c r="BF18" s="17"/>
      <c r="BG18" s="16"/>
      <c r="BH18" s="17"/>
      <c r="BI18" s="17"/>
      <c r="BJ18" s="17"/>
      <c r="BK18" s="17"/>
      <c r="BM18" s="17"/>
      <c r="BN18" s="16"/>
      <c r="BO18" s="17"/>
      <c r="BP18" s="17"/>
      <c r="BQ18" s="17"/>
      <c r="BR18" s="17"/>
      <c r="BT18" s="17"/>
      <c r="BU18" s="16"/>
      <c r="BV18" s="17"/>
      <c r="BW18" s="17"/>
      <c r="BX18" s="17"/>
      <c r="BY18" s="17"/>
      <c r="BZ18" s="17"/>
      <c r="CA18" s="16"/>
      <c r="CB18" s="17"/>
      <c r="CC18" s="17"/>
      <c r="CD18" s="17"/>
      <c r="CE18" s="17"/>
      <c r="CG18" s="17"/>
      <c r="CH18" s="16"/>
      <c r="CI18" s="17"/>
      <c r="CJ18" s="17"/>
      <c r="CK18" s="17"/>
      <c r="CL18" s="17"/>
      <c r="CN18" s="17"/>
      <c r="CO18" s="16"/>
      <c r="CP18" s="17"/>
      <c r="CQ18" s="17"/>
      <c r="CR18" s="17"/>
      <c r="CS18" s="17"/>
      <c r="CU18" s="17"/>
      <c r="CV18" s="16"/>
      <c r="CW18" s="17"/>
      <c r="CX18" s="17"/>
      <c r="CY18" s="17"/>
      <c r="CZ18" s="17"/>
      <c r="DB18" s="17"/>
      <c r="DC18" s="16"/>
      <c r="DD18" s="17"/>
      <c r="DE18" s="17"/>
      <c r="DF18" s="17"/>
      <c r="DG18" s="17"/>
      <c r="DI18" s="17"/>
      <c r="DJ18" s="16"/>
      <c r="DK18" s="17"/>
      <c r="DL18" s="17"/>
      <c r="DM18" s="17"/>
      <c r="DN18" s="17"/>
      <c r="DP18" s="17"/>
      <c r="DQ18" s="16"/>
      <c r="DR18" s="17"/>
      <c r="DS18" s="17"/>
      <c r="DT18" s="17"/>
      <c r="DU18" s="17"/>
      <c r="DV18" s="17"/>
      <c r="DW18" s="17"/>
      <c r="DX18" s="17"/>
      <c r="DY18" s="17"/>
      <c r="DZ18" s="17"/>
      <c r="EA18" s="17"/>
      <c r="EB18" s="17"/>
    </row>
    <row r="19" spans="1:132" x14ac:dyDescent="0.25">
      <c r="A19" s="1">
        <v>13</v>
      </c>
      <c r="B19" s="9">
        <f>ROUNDUP(t_B4n3_Fixed[[#This Row],[Row]]-$B$4,0)</f>
        <v>-19</v>
      </c>
      <c r="C19" s="12">
        <f>t_B4n3[[#This Row],[x]]-D18</f>
        <v>1</v>
      </c>
      <c r="D19" s="138">
        <v>13</v>
      </c>
      <c r="E19" s="52">
        <f>MOD(INT(t_B4n3[[#This Row],[x]]/$B$1^INT(RIGHT(t_B4n3[[#Headers],[b2]],1))),$B$1)</f>
        <v>0</v>
      </c>
      <c r="F19" s="52">
        <f>MOD(INT(t_B4n3[[#This Row],[x]]/$B$1^INT(RIGHT(t_B4n3[[#Headers],[b1]],1))),$B$1)</f>
        <v>3</v>
      </c>
      <c r="G19" s="53">
        <f>MOD(INT(t_B4n3[[#This Row],[x]]/$B$1^INT(RIGHT(t_B4n3[[#Headers],[b0]],1))),$B$1)</f>
        <v>1</v>
      </c>
      <c r="H19" s="13"/>
      <c r="K19" s="17"/>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Q19" s="17"/>
      <c r="AR19" s="17"/>
      <c r="AS19" s="17"/>
      <c r="AT19" s="17"/>
      <c r="AV19" s="17"/>
      <c r="AW19" s="17"/>
      <c r="AX19" s="17"/>
      <c r="AY19" s="17"/>
      <c r="AZ19" s="17"/>
      <c r="BB19" s="17"/>
      <c r="BC19" s="17"/>
      <c r="BD19" s="17"/>
      <c r="BF19" s="17"/>
      <c r="BG19" s="16"/>
      <c r="BH19" s="17"/>
      <c r="BI19" s="17"/>
      <c r="BJ19" s="17"/>
      <c r="BK19" s="17"/>
      <c r="BM19" s="17"/>
      <c r="BN19" s="16"/>
      <c r="BO19" s="17"/>
      <c r="BP19" s="17"/>
      <c r="BQ19" s="17"/>
      <c r="BR19" s="17"/>
      <c r="BT19" s="17"/>
      <c r="BU19" s="16"/>
      <c r="BV19" s="17"/>
      <c r="BW19" s="17"/>
      <c r="BX19" s="17"/>
      <c r="BY19" s="17"/>
      <c r="BZ19" s="17"/>
      <c r="CA19" s="16"/>
      <c r="CB19" s="17"/>
      <c r="CC19" s="17"/>
      <c r="CD19" s="17"/>
      <c r="CE19" s="17"/>
      <c r="CG19" s="17"/>
      <c r="CH19" s="16"/>
      <c r="CI19" s="17"/>
      <c r="CJ19" s="17"/>
      <c r="CK19" s="17"/>
      <c r="CL19" s="17"/>
      <c r="CN19" s="17"/>
      <c r="CO19" s="16"/>
      <c r="CP19" s="17"/>
      <c r="CQ19" s="17"/>
      <c r="CR19" s="17"/>
      <c r="CS19" s="17"/>
      <c r="CU19" s="17"/>
      <c r="CV19" s="16"/>
      <c r="CW19" s="17"/>
      <c r="CX19" s="17"/>
      <c r="CY19" s="17"/>
      <c r="CZ19" s="17"/>
      <c r="DB19" s="17"/>
      <c r="DC19" s="16"/>
      <c r="DD19" s="17"/>
      <c r="DE19" s="17"/>
      <c r="DF19" s="17"/>
      <c r="DG19" s="17"/>
      <c r="DI19" s="17"/>
      <c r="DJ19" s="16"/>
      <c r="DK19" s="17"/>
      <c r="DL19" s="17"/>
      <c r="DM19" s="17"/>
      <c r="DN19" s="17"/>
      <c r="DP19" s="17"/>
      <c r="DQ19" s="16"/>
      <c r="DR19" s="17"/>
      <c r="DS19" s="17"/>
      <c r="DT19" s="17"/>
      <c r="DU19" s="17"/>
      <c r="DV19" s="17"/>
      <c r="DW19" s="17"/>
      <c r="DX19" s="17"/>
      <c r="DY19" s="17"/>
      <c r="DZ19" s="17"/>
      <c r="EA19" s="17"/>
      <c r="EB19" s="17"/>
    </row>
    <row r="20" spans="1:132" x14ac:dyDescent="0.25">
      <c r="A20" s="1">
        <v>14</v>
      </c>
      <c r="B20" s="9">
        <f>ROUNDUP(t_B4n3_Fixed[[#This Row],[Row]]-$B$4,0)</f>
        <v>-18</v>
      </c>
      <c r="C20" s="12">
        <f>t_B4n3[[#This Row],[x]]-D19</f>
        <v>1</v>
      </c>
      <c r="D20" s="139">
        <v>14</v>
      </c>
      <c r="E20" s="40">
        <f>MOD(INT(t_B4n3[[#This Row],[x]]/$B$1^INT(RIGHT(t_B4n3[[#Headers],[b2]],1))),$B$1)</f>
        <v>0</v>
      </c>
      <c r="F20" s="40">
        <f>MOD(INT(t_B4n3[[#This Row],[x]]/$B$1^INT(RIGHT(t_B4n3[[#Headers],[b1]],1))),$B$1)</f>
        <v>3</v>
      </c>
      <c r="G20" s="41">
        <f>MOD(INT(t_B4n3[[#This Row],[x]]/$B$1^INT(RIGHT(t_B4n3[[#Headers],[b0]],1))),$B$1)</f>
        <v>2</v>
      </c>
      <c r="H20" s="13"/>
      <c r="K20" s="17"/>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Q20" s="17"/>
      <c r="AR20" s="17"/>
      <c r="AS20" s="17"/>
      <c r="AT20" s="17"/>
      <c r="AV20" s="17"/>
      <c r="AW20" s="17"/>
      <c r="AX20" s="17"/>
      <c r="AY20" s="17"/>
      <c r="AZ20" s="17"/>
      <c r="BB20" s="17"/>
      <c r="BC20" s="17"/>
      <c r="BD20" s="17"/>
      <c r="BF20" s="17"/>
      <c r="BG20" s="16"/>
      <c r="BH20" s="17"/>
      <c r="BI20" s="17"/>
      <c r="BJ20" s="17"/>
      <c r="BK20" s="17"/>
      <c r="BM20" s="17"/>
      <c r="BN20" s="16"/>
      <c r="BO20" s="17"/>
      <c r="BP20" s="17"/>
      <c r="BQ20" s="17"/>
      <c r="BR20" s="17"/>
      <c r="BT20" s="17"/>
      <c r="BU20" s="16"/>
      <c r="BV20" s="17"/>
      <c r="BW20" s="17"/>
      <c r="BX20" s="17"/>
      <c r="BY20" s="17"/>
      <c r="BZ20" s="17"/>
      <c r="CA20" s="16"/>
      <c r="CB20" s="17"/>
      <c r="CC20" s="17"/>
      <c r="CD20" s="17"/>
      <c r="CE20" s="17"/>
      <c r="CG20" s="17"/>
      <c r="CH20" s="16"/>
      <c r="CI20" s="17"/>
      <c r="CJ20" s="17"/>
      <c r="CK20" s="17"/>
      <c r="CL20" s="17"/>
      <c r="CN20" s="17"/>
      <c r="CO20" s="16"/>
      <c r="CP20" s="17"/>
      <c r="CQ20" s="17"/>
      <c r="CR20" s="17"/>
      <c r="CS20" s="17"/>
      <c r="CU20" s="17"/>
      <c r="CV20" s="16"/>
      <c r="CW20" s="17"/>
      <c r="CX20" s="17"/>
      <c r="CY20" s="17"/>
      <c r="CZ20" s="17"/>
      <c r="DB20" s="17"/>
      <c r="DC20" s="16"/>
      <c r="DD20" s="17"/>
      <c r="DE20" s="17"/>
      <c r="DF20" s="17"/>
      <c r="DG20" s="17"/>
      <c r="DI20" s="17"/>
      <c r="DJ20" s="16"/>
      <c r="DK20" s="17"/>
      <c r="DL20" s="17"/>
      <c r="DM20" s="17"/>
      <c r="DN20" s="17"/>
      <c r="DP20" s="17"/>
      <c r="DQ20" s="16"/>
      <c r="DR20" s="17"/>
      <c r="DS20" s="17"/>
      <c r="DT20" s="17"/>
      <c r="DU20" s="17"/>
      <c r="DV20" s="17"/>
      <c r="DW20" s="17"/>
      <c r="DX20" s="17"/>
      <c r="DY20" s="17"/>
      <c r="DZ20" s="17"/>
      <c r="EA20" s="17"/>
      <c r="EB20" s="17"/>
    </row>
    <row r="21" spans="1:132" x14ac:dyDescent="0.25">
      <c r="A21" s="1">
        <v>15</v>
      </c>
      <c r="B21" s="9">
        <f>ROUNDUP(t_B4n3_Fixed[[#This Row],[Row]]-$B$4,0)</f>
        <v>-17</v>
      </c>
      <c r="C21" s="12">
        <f>t_B4n3[[#This Row],[x]]-D20</f>
        <v>1</v>
      </c>
      <c r="D21" s="9">
        <v>15</v>
      </c>
      <c r="E21" s="185">
        <f>MOD(INT(t_B4n3[[#This Row],[x]]/$B$1^INT(RIGHT(t_B4n3[[#Headers],[b2]],1))),$B$1)</f>
        <v>0</v>
      </c>
      <c r="F21" s="185">
        <f>MOD(INT(t_B4n3[[#This Row],[x]]/$B$1^INT(RIGHT(t_B4n3[[#Headers],[b1]],1))),$B$1)</f>
        <v>3</v>
      </c>
      <c r="G21" s="184">
        <f>MOD(INT(t_B4n3[[#This Row],[x]]/$B$1^INT(RIGHT(t_B4n3[[#Headers],[b0]],1))),$B$1)</f>
        <v>3</v>
      </c>
      <c r="H21" s="13"/>
      <c r="K21" s="17"/>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Q21" s="17"/>
      <c r="AR21" s="17"/>
      <c r="AS21" s="17"/>
      <c r="AT21" s="17"/>
      <c r="AV21" s="17"/>
      <c r="AW21" s="17"/>
      <c r="AX21" s="17"/>
      <c r="AY21" s="17"/>
      <c r="AZ21" s="17"/>
      <c r="BB21" s="17"/>
      <c r="BC21" s="17"/>
      <c r="BD21" s="17"/>
      <c r="BE21" s="17"/>
      <c r="BF21" s="17"/>
      <c r="BG21" s="16"/>
      <c r="BH21" s="17"/>
      <c r="BI21" s="17"/>
      <c r="BJ21" s="17"/>
      <c r="BK21" s="17"/>
      <c r="BM21" s="17"/>
      <c r="BN21" s="16"/>
      <c r="BO21" s="17"/>
      <c r="BP21" s="17"/>
      <c r="BQ21" s="17"/>
      <c r="BR21" s="17"/>
      <c r="BT21" s="17"/>
      <c r="BU21" s="16"/>
      <c r="BV21" s="17"/>
      <c r="BW21" s="17"/>
      <c r="BX21" s="17"/>
      <c r="BY21" s="17"/>
      <c r="BZ21" s="17"/>
      <c r="CA21" s="16"/>
      <c r="CB21" s="17"/>
      <c r="CC21" s="17"/>
      <c r="CD21" s="17"/>
      <c r="CE21" s="17"/>
      <c r="CG21" s="17"/>
      <c r="CH21" s="16"/>
      <c r="CI21" s="17"/>
      <c r="CJ21" s="17"/>
      <c r="CK21" s="17"/>
      <c r="CL21" s="17"/>
      <c r="CN21" s="17"/>
      <c r="CO21" s="16"/>
      <c r="CP21" s="17"/>
      <c r="CQ21" s="17"/>
      <c r="CR21" s="17"/>
      <c r="CS21" s="17"/>
      <c r="CU21" s="17"/>
      <c r="CV21" s="16"/>
      <c r="CW21" s="17"/>
      <c r="CX21" s="17"/>
      <c r="CY21" s="17"/>
      <c r="CZ21" s="17"/>
      <c r="DB21" s="17"/>
      <c r="DC21" s="16"/>
      <c r="DD21" s="17"/>
      <c r="DE21" s="17"/>
      <c r="DF21" s="17"/>
      <c r="DG21" s="17"/>
      <c r="DI21" s="17"/>
      <c r="DJ21" s="16"/>
      <c r="DK21" s="17"/>
      <c r="DL21" s="17"/>
      <c r="DM21" s="17"/>
      <c r="DN21" s="17"/>
      <c r="DP21" s="17"/>
      <c r="DQ21" s="16"/>
      <c r="DR21" s="17"/>
      <c r="DS21" s="17"/>
      <c r="DT21" s="17"/>
      <c r="DU21" s="17"/>
      <c r="DV21" s="17"/>
      <c r="DW21" s="17"/>
      <c r="DX21" s="17"/>
      <c r="DY21" s="17"/>
      <c r="DZ21" s="17"/>
      <c r="EA21" s="17"/>
      <c r="EB21" s="17"/>
    </row>
    <row r="22" spans="1:132" x14ac:dyDescent="0.25">
      <c r="A22" s="1">
        <v>16</v>
      </c>
      <c r="B22" s="9">
        <f>ROUNDUP(t_B4n3_Fixed[[#This Row],[Row]]-$B$4,0)</f>
        <v>-16</v>
      </c>
      <c r="C22" s="12">
        <f>t_B4n3[[#This Row],[x]]-D21</f>
        <v>1</v>
      </c>
      <c r="D22" s="1">
        <v>16</v>
      </c>
      <c r="E22" s="42">
        <f>MOD(INT(t_B4n3[[#This Row],[x]]/$B$1^INT(RIGHT(t_B4n3[[#Headers],[b2]],1))),$B$1)</f>
        <v>1</v>
      </c>
      <c r="F22" s="42">
        <f>MOD(INT(t_B4n3[[#This Row],[x]]/$B$1^INT(RIGHT(t_B4n3[[#Headers],[b1]],1))),$B$1)</f>
        <v>0</v>
      </c>
      <c r="G22" s="43">
        <f>MOD(INT(t_B4n3[[#This Row],[x]]/$B$1^INT(RIGHT(t_B4n3[[#Headers],[b0]],1))),$B$1)</f>
        <v>0</v>
      </c>
      <c r="H22" s="13"/>
      <c r="K22" s="17"/>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BE22" s="17"/>
      <c r="BG22" s="16"/>
      <c r="BN22" s="16"/>
      <c r="BU22" s="16"/>
      <c r="CA22" s="16"/>
      <c r="CH22" s="16"/>
      <c r="CO22" s="16"/>
      <c r="CV22" s="16"/>
      <c r="DC22" s="16"/>
      <c r="DJ22" s="16"/>
      <c r="DQ22" s="16"/>
    </row>
    <row r="23" spans="1:132" x14ac:dyDescent="0.25">
      <c r="A23" s="1">
        <v>17</v>
      </c>
      <c r="B23" s="9">
        <f>ROUNDUP(t_B4n3_Fixed[[#This Row],[Row]]-$B$4,0)</f>
        <v>-15</v>
      </c>
      <c r="C23" s="12">
        <f>t_B4n3[[#This Row],[x]]-D22</f>
        <v>1</v>
      </c>
      <c r="D23" s="9">
        <v>17</v>
      </c>
      <c r="E23" s="48">
        <f>MOD(INT(t_B4n3[[#This Row],[x]]/$B$1^INT(RIGHT(t_B4n3[[#Headers],[b2]],1))),$B$1)</f>
        <v>1</v>
      </c>
      <c r="F23" s="48">
        <f>MOD(INT(t_B4n3[[#This Row],[x]]/$B$1^INT(RIGHT(t_B4n3[[#Headers],[b1]],1))),$B$1)</f>
        <v>0</v>
      </c>
      <c r="G23" s="49">
        <f>MOD(INT(t_B4n3[[#This Row],[x]]/$B$1^INT(RIGHT(t_B4n3[[#Headers],[b0]],1))),$B$1)</f>
        <v>1</v>
      </c>
      <c r="H23" s="13"/>
      <c r="K23" s="17"/>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BG23" s="16"/>
      <c r="BN23" s="16"/>
      <c r="BU23" s="16"/>
      <c r="CA23" s="16"/>
      <c r="CH23" s="16"/>
      <c r="CO23" s="16"/>
      <c r="CV23" s="16"/>
      <c r="DC23" s="16"/>
      <c r="DJ23" s="16"/>
      <c r="DQ23" s="16"/>
    </row>
    <row r="24" spans="1:132" x14ac:dyDescent="0.25">
      <c r="A24" s="1">
        <v>18</v>
      </c>
      <c r="B24" s="9">
        <f>ROUNDUP(t_B4n3_Fixed[[#This Row],[Row]]-$B$4,0)</f>
        <v>-14</v>
      </c>
      <c r="C24" s="12">
        <f>t_B4n3[[#This Row],[x]]-D23</f>
        <v>1</v>
      </c>
      <c r="D24" s="139">
        <v>18</v>
      </c>
      <c r="E24" s="64">
        <f>MOD(INT(t_B4n3[[#This Row],[x]]/$B$1^INT(RIGHT(t_B4n3[[#Headers],[b2]],1))),$B$1)</f>
        <v>1</v>
      </c>
      <c r="F24" s="64">
        <f>MOD(INT(t_B4n3[[#This Row],[x]]/$B$1^INT(RIGHT(t_B4n3[[#Headers],[b1]],1))),$B$1)</f>
        <v>0</v>
      </c>
      <c r="G24" s="65">
        <f>MOD(INT(t_B4n3[[#This Row],[x]]/$B$1^INT(RIGHT(t_B4n3[[#Headers],[b0]],1))),$B$1)</f>
        <v>2</v>
      </c>
      <c r="H24" s="13"/>
      <c r="K24" s="17"/>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BG24" s="16"/>
      <c r="BN24" s="16"/>
      <c r="BU24" s="16"/>
      <c r="CA24" s="16"/>
      <c r="CH24" s="16"/>
      <c r="CO24" s="16"/>
      <c r="CV24" s="16"/>
      <c r="DC24" s="16"/>
      <c r="DJ24" s="16"/>
      <c r="DQ24" s="16"/>
    </row>
    <row r="25" spans="1:132" x14ac:dyDescent="0.25">
      <c r="A25" s="1">
        <v>19</v>
      </c>
      <c r="B25" s="9">
        <f>ROUNDUP(t_B4n3_Fixed[[#This Row],[Row]]-$B$4,0)</f>
        <v>-13</v>
      </c>
      <c r="C25" s="12">
        <f>t_B4n3[[#This Row],[x]]-D24</f>
        <v>1</v>
      </c>
      <c r="D25" s="139">
        <v>19</v>
      </c>
      <c r="E25" s="52">
        <f>MOD(INT(t_B4n3[[#This Row],[x]]/$B$1^INT(RIGHT(t_B4n3[[#Headers],[b2]],1))),$B$1)</f>
        <v>1</v>
      </c>
      <c r="F25" s="52">
        <f>MOD(INT(t_B4n3[[#This Row],[x]]/$B$1^INT(RIGHT(t_B4n3[[#Headers],[b1]],1))),$B$1)</f>
        <v>0</v>
      </c>
      <c r="G25" s="53">
        <f>MOD(INT(t_B4n3[[#This Row],[x]]/$B$1^INT(RIGHT(t_B4n3[[#Headers],[b0]],1))),$B$1)</f>
        <v>3</v>
      </c>
      <c r="H25" s="13"/>
      <c r="K25" s="17"/>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BG25" s="16"/>
      <c r="BN25" s="16"/>
      <c r="BU25" s="16"/>
      <c r="CA25" s="16"/>
      <c r="CH25" s="16"/>
      <c r="CO25" s="16"/>
      <c r="CV25" s="16"/>
      <c r="DC25" s="16"/>
      <c r="DJ25" s="16"/>
      <c r="DQ25" s="16"/>
    </row>
    <row r="26" spans="1:132" x14ac:dyDescent="0.25">
      <c r="A26" s="1">
        <v>20</v>
      </c>
      <c r="B26" s="9">
        <f>ROUNDUP(t_B4n3_Fixed[[#This Row],[Row]]-$B$4,0)</f>
        <v>-12</v>
      </c>
      <c r="C26" s="12">
        <f>t_B4n3[[#This Row],[x]]-D25</f>
        <v>1</v>
      </c>
      <c r="D26" s="9">
        <v>20</v>
      </c>
      <c r="E26" s="48">
        <f>MOD(INT(t_B4n3[[#This Row],[x]]/$B$1^INT(RIGHT(t_B4n3[[#Headers],[b2]],1))),$B$1)</f>
        <v>1</v>
      </c>
      <c r="F26" s="48">
        <f>MOD(INT(t_B4n3[[#This Row],[x]]/$B$1^INT(RIGHT(t_B4n3[[#Headers],[b1]],1))),$B$1)</f>
        <v>1</v>
      </c>
      <c r="G26" s="49">
        <f>MOD(INT(t_B4n3[[#This Row],[x]]/$B$1^INT(RIGHT(t_B4n3[[#Headers],[b0]],1))),$B$1)</f>
        <v>0</v>
      </c>
      <c r="H26" s="13"/>
      <c r="K26" s="17"/>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BG26" s="16"/>
      <c r="BN26" s="16"/>
      <c r="BU26" s="16"/>
      <c r="CA26" s="16"/>
      <c r="CH26" s="16"/>
      <c r="CO26" s="16"/>
      <c r="CV26" s="16"/>
      <c r="DC26" s="16"/>
      <c r="DJ26" s="16"/>
      <c r="DQ26" s="16"/>
    </row>
    <row r="27" spans="1:132" x14ac:dyDescent="0.25">
      <c r="A27" s="1">
        <v>21</v>
      </c>
      <c r="B27" s="9">
        <f>ROUNDUP(t_B4n3_Fixed[[#This Row],[Row]]-$B$4,0)</f>
        <v>-11</v>
      </c>
      <c r="C27" s="12">
        <f>t_B4n3[[#This Row],[x]]-D26</f>
        <v>1</v>
      </c>
      <c r="D27" s="2">
        <v>21</v>
      </c>
      <c r="E27" s="187">
        <f>MOD(INT(t_B4n3[[#This Row],[x]]/$B$1^INT(RIGHT(t_B4n3[[#Headers],[b2]],1))),$B$1)</f>
        <v>1</v>
      </c>
      <c r="F27" s="187">
        <f>MOD(INT(t_B4n3[[#This Row],[x]]/$B$1^INT(RIGHT(t_B4n3[[#Headers],[b1]],1))),$B$1)</f>
        <v>1</v>
      </c>
      <c r="G27" s="186">
        <f>MOD(INT(t_B4n3[[#This Row],[x]]/$B$1^INT(RIGHT(t_B4n3[[#Headers],[b0]],1))),$B$1)</f>
        <v>1</v>
      </c>
      <c r="H27" s="13"/>
      <c r="K27" s="17"/>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BG27" s="16"/>
      <c r="BN27" s="16"/>
      <c r="BU27" s="16"/>
      <c r="CA27" s="16"/>
      <c r="CH27" s="16"/>
      <c r="CO27" s="16"/>
      <c r="CV27" s="16"/>
      <c r="DC27" s="16"/>
      <c r="DJ27" s="16"/>
      <c r="DQ27" s="16"/>
    </row>
    <row r="28" spans="1:132" x14ac:dyDescent="0.25">
      <c r="A28" s="1">
        <v>22</v>
      </c>
      <c r="B28" s="9">
        <f>ROUNDUP(t_B4n3_Fixed[[#This Row],[Row]]-$B$4,0)</f>
        <v>-10</v>
      </c>
      <c r="C28" s="12">
        <f>t_B4n3[[#This Row],[x]]-D27</f>
        <v>1</v>
      </c>
      <c r="D28" s="2">
        <v>22</v>
      </c>
      <c r="E28" s="79">
        <f>MOD(INT(t_B4n3[[#This Row],[x]]/$B$1^INT(RIGHT(t_B4n3[[#Headers],[b2]],1))),$B$1)</f>
        <v>1</v>
      </c>
      <c r="F28" s="79">
        <f>MOD(INT(t_B4n3[[#This Row],[x]]/$B$1^INT(RIGHT(t_B4n3[[#Headers],[b1]],1))),$B$1)</f>
        <v>1</v>
      </c>
      <c r="G28" s="80">
        <f>MOD(INT(t_B4n3[[#This Row],[x]]/$B$1^INT(RIGHT(t_B4n3[[#Headers],[b0]],1))),$B$1)</f>
        <v>2</v>
      </c>
      <c r="H28" s="13"/>
      <c r="K28" s="17"/>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BG28" s="16"/>
      <c r="BN28" s="16"/>
      <c r="BU28" s="16"/>
      <c r="CA28" s="16"/>
      <c r="CH28" s="16"/>
      <c r="CO28" s="16"/>
      <c r="CV28" s="16"/>
      <c r="DC28" s="16"/>
      <c r="DJ28" s="16"/>
      <c r="DQ28" s="16"/>
    </row>
    <row r="29" spans="1:132" x14ac:dyDescent="0.25">
      <c r="A29" s="1">
        <v>23</v>
      </c>
      <c r="B29" s="9">
        <f>ROUNDUP(t_B4n3_Fixed[[#This Row],[Row]]-$B$4,0)</f>
        <v>-9</v>
      </c>
      <c r="C29" s="12">
        <f>t_B4n3[[#This Row],[x]]-D28</f>
        <v>1</v>
      </c>
      <c r="D29" s="138">
        <v>23</v>
      </c>
      <c r="E29" s="46">
        <f>MOD(INT(t_B4n3[[#This Row],[x]]/$B$1^INT(RIGHT(t_B4n3[[#Headers],[b2]],1))),$B$1)</f>
        <v>1</v>
      </c>
      <c r="F29" s="46">
        <f>MOD(INT(t_B4n3[[#This Row],[x]]/$B$1^INT(RIGHT(t_B4n3[[#Headers],[b1]],1))),$B$1)</f>
        <v>1</v>
      </c>
      <c r="G29" s="47">
        <f>MOD(INT(t_B4n3[[#This Row],[x]]/$B$1^INT(RIGHT(t_B4n3[[#Headers],[b0]],1))),$B$1)</f>
        <v>3</v>
      </c>
      <c r="H29" s="13"/>
      <c r="K29" s="17"/>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BG29" s="16"/>
      <c r="BN29" s="16"/>
      <c r="BU29" s="16"/>
      <c r="CA29" s="16"/>
      <c r="CH29" s="16"/>
      <c r="CO29" s="16"/>
      <c r="CV29" s="16"/>
      <c r="DC29" s="16"/>
      <c r="DJ29" s="16"/>
      <c r="DQ29" s="16"/>
    </row>
    <row r="30" spans="1:132" x14ac:dyDescent="0.25">
      <c r="A30" s="1">
        <v>24</v>
      </c>
      <c r="B30" s="9">
        <f>ROUNDUP(t_B4n3_Fixed[[#This Row],[Row]]-$B$4,0)</f>
        <v>-8</v>
      </c>
      <c r="C30" s="12">
        <f>t_B4n3[[#This Row],[x]]-D29</f>
        <v>1</v>
      </c>
      <c r="D30" s="138">
        <v>24</v>
      </c>
      <c r="E30" s="50">
        <f>MOD(INT(t_B4n3[[#This Row],[x]]/$B$1^INT(RIGHT(t_B4n3[[#Headers],[b2]],1))),$B$1)</f>
        <v>1</v>
      </c>
      <c r="F30" s="50">
        <f>MOD(INT(t_B4n3[[#This Row],[x]]/$B$1^INT(RIGHT(t_B4n3[[#Headers],[b1]],1))),$B$1)</f>
        <v>2</v>
      </c>
      <c r="G30" s="51">
        <f>MOD(INT(t_B4n3[[#This Row],[x]]/$B$1^INT(RIGHT(t_B4n3[[#Headers],[b0]],1))),$B$1)</f>
        <v>0</v>
      </c>
      <c r="H30" s="13"/>
      <c r="K30" s="17"/>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132" x14ac:dyDescent="0.25">
      <c r="A31" s="1">
        <v>25</v>
      </c>
      <c r="B31" s="9">
        <f>ROUNDUP(t_B4n3_Fixed[[#This Row],[Row]]-$B$4,0)</f>
        <v>-7</v>
      </c>
      <c r="C31" s="12">
        <f>t_B4n3[[#This Row],[x]]-D30</f>
        <v>1</v>
      </c>
      <c r="D31" s="2">
        <v>25</v>
      </c>
      <c r="E31" s="79">
        <f>MOD(INT(t_B4n3[[#This Row],[x]]/$B$1^INT(RIGHT(t_B4n3[[#Headers],[b2]],1))),$B$1)</f>
        <v>1</v>
      </c>
      <c r="F31" s="79">
        <f>MOD(INT(t_B4n3[[#This Row],[x]]/$B$1^INT(RIGHT(t_B4n3[[#Headers],[b1]],1))),$B$1)</f>
        <v>2</v>
      </c>
      <c r="G31" s="80">
        <f>MOD(INT(t_B4n3[[#This Row],[x]]/$B$1^INT(RIGHT(t_B4n3[[#Headers],[b0]],1))),$B$1)</f>
        <v>1</v>
      </c>
      <c r="H31" s="13"/>
      <c r="K31" s="17"/>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row>
    <row r="32" spans="1:132" x14ac:dyDescent="0.25">
      <c r="A32" s="1">
        <v>26</v>
      </c>
      <c r="B32" s="9">
        <f>ROUNDUP(t_B4n3_Fixed[[#This Row],[Row]]-$B$4,0)</f>
        <v>-6</v>
      </c>
      <c r="C32" s="12">
        <f>t_B4n3[[#This Row],[x]]-D31</f>
        <v>1</v>
      </c>
      <c r="D32" s="2">
        <v>26</v>
      </c>
      <c r="E32" s="81">
        <f>MOD(INT(t_B4n3[[#This Row],[x]]/$B$1^INT(RIGHT(t_B4n3[[#Headers],[b2]],1))),$B$1)</f>
        <v>1</v>
      </c>
      <c r="F32" s="81">
        <f>MOD(INT(t_B4n3[[#This Row],[x]]/$B$1^INT(RIGHT(t_B4n3[[#Headers],[b1]],1))),$B$1)</f>
        <v>2</v>
      </c>
      <c r="G32" s="82">
        <f>MOD(INT(t_B4n3[[#This Row],[x]]/$B$1^INT(RIGHT(t_B4n3[[#Headers],[b0]],1))),$B$1)</f>
        <v>2</v>
      </c>
      <c r="H32" s="13"/>
      <c r="K32" s="17"/>
      <c r="M32" s="17"/>
    </row>
    <row r="33" spans="1:13" x14ac:dyDescent="0.25">
      <c r="A33" s="1">
        <v>27</v>
      </c>
      <c r="B33" s="9">
        <f>ROUNDUP(t_B4n3_Fixed[[#This Row],[Row]]-$B$4,0)</f>
        <v>-5</v>
      </c>
      <c r="C33" s="12">
        <f>t_B4n3[[#This Row],[x]]-D32</f>
        <v>1</v>
      </c>
      <c r="D33" s="138">
        <v>27</v>
      </c>
      <c r="E33" s="70">
        <f>MOD(INT(t_B4n3[[#This Row],[x]]/$B$1^INT(RIGHT(t_B4n3[[#Headers],[b2]],1))),$B$1)</f>
        <v>1</v>
      </c>
      <c r="F33" s="70">
        <f>MOD(INT(t_B4n3[[#This Row],[x]]/$B$1^INT(RIGHT(t_B4n3[[#Headers],[b1]],1))),$B$1)</f>
        <v>2</v>
      </c>
      <c r="G33" s="71">
        <f>MOD(INT(t_B4n3[[#This Row],[x]]/$B$1^INT(RIGHT(t_B4n3[[#Headers],[b0]],1))),$B$1)</f>
        <v>3</v>
      </c>
      <c r="H33" s="13"/>
      <c r="K33" s="17"/>
      <c r="M33" s="17"/>
    </row>
    <row r="34" spans="1:13" x14ac:dyDescent="0.25">
      <c r="A34" s="1">
        <v>28</v>
      </c>
      <c r="B34" s="9">
        <f>ROUNDUP(t_B4n3_Fixed[[#This Row],[Row]]-$B$4,0)</f>
        <v>-4</v>
      </c>
      <c r="C34" s="12">
        <f>t_B4n3[[#This Row],[x]]-D33</f>
        <v>1</v>
      </c>
      <c r="D34" s="138">
        <v>28</v>
      </c>
      <c r="E34" s="83">
        <f>MOD(INT(t_B4n3[[#This Row],[x]]/$B$1^INT(RIGHT(t_B4n3[[#Headers],[b2]],1))),$B$1)</f>
        <v>1</v>
      </c>
      <c r="F34" s="83">
        <f>MOD(INT(t_B4n3[[#This Row],[x]]/$B$1^INT(RIGHT(t_B4n3[[#Headers],[b1]],1))),$B$1)</f>
        <v>3</v>
      </c>
      <c r="G34" s="84">
        <f>MOD(INT(t_B4n3[[#This Row],[x]]/$B$1^INT(RIGHT(t_B4n3[[#Headers],[b0]],1))),$B$1)</f>
        <v>0</v>
      </c>
      <c r="H34" s="13"/>
      <c r="K34" s="17"/>
      <c r="M34" s="17"/>
    </row>
    <row r="35" spans="1:13" x14ac:dyDescent="0.25">
      <c r="A35" s="1">
        <v>29</v>
      </c>
      <c r="B35" s="9">
        <f>ROUNDUP(t_B4n3_Fixed[[#This Row],[Row]]-$B$4,0)</f>
        <v>-3</v>
      </c>
      <c r="C35" s="12">
        <f>t_B4n3[[#This Row],[x]]-D34</f>
        <v>1</v>
      </c>
      <c r="D35" s="138">
        <v>29</v>
      </c>
      <c r="E35" s="46">
        <f>MOD(INT(t_B4n3[[#This Row],[x]]/$B$1^INT(RIGHT(t_B4n3[[#Headers],[b2]],1))),$B$1)</f>
        <v>1</v>
      </c>
      <c r="F35" s="46">
        <f>MOD(INT(t_B4n3[[#This Row],[x]]/$B$1^INT(RIGHT(t_B4n3[[#Headers],[b1]],1))),$B$1)</f>
        <v>3</v>
      </c>
      <c r="G35" s="47">
        <f>MOD(INT(t_B4n3[[#This Row],[x]]/$B$1^INT(RIGHT(t_B4n3[[#Headers],[b0]],1))),$B$1)</f>
        <v>1</v>
      </c>
      <c r="H35" s="13"/>
      <c r="J35" s="16"/>
      <c r="K35" s="17"/>
      <c r="M35" s="17"/>
    </row>
    <row r="36" spans="1:13" x14ac:dyDescent="0.25">
      <c r="A36" s="1">
        <v>30</v>
      </c>
      <c r="B36" s="9">
        <f>ROUNDUP(t_B4n3_Fixed[[#This Row],[Row]]-$B$4,0)</f>
        <v>-2</v>
      </c>
      <c r="C36" s="12">
        <f>t_B4n3[[#This Row],[x]]-D35</f>
        <v>1</v>
      </c>
      <c r="D36" s="138">
        <v>30</v>
      </c>
      <c r="E36" s="62">
        <f>MOD(INT(t_B4n3[[#This Row],[x]]/$B$1^INT(RIGHT(t_B4n3[[#Headers],[b2]],1))),$B$1)</f>
        <v>1</v>
      </c>
      <c r="F36" s="62">
        <f>MOD(INT(t_B4n3[[#This Row],[x]]/$B$1^INT(RIGHT(t_B4n3[[#Headers],[b1]],1))),$B$1)</f>
        <v>3</v>
      </c>
      <c r="G36" s="63">
        <f>MOD(INT(t_B4n3[[#This Row],[x]]/$B$1^INT(RIGHT(t_B4n3[[#Headers],[b0]],1))),$B$1)</f>
        <v>2</v>
      </c>
      <c r="H36" s="13"/>
      <c r="J36" s="16"/>
      <c r="K36" s="17"/>
      <c r="M36" s="17"/>
    </row>
    <row r="37" spans="1:13" ht="15.75" thickBot="1" x14ac:dyDescent="0.3">
      <c r="A37" s="6">
        <v>31</v>
      </c>
      <c r="B37" s="6">
        <f>ROUNDUP(t_B4n3_Fixed[[#This Row],[Row]]-$B$4,0)</f>
        <v>-1</v>
      </c>
      <c r="C37" s="7">
        <f>t_B4n3[[#This Row],[x]]-D36</f>
        <v>1</v>
      </c>
      <c r="D37" s="140">
        <v>31</v>
      </c>
      <c r="E37" s="58">
        <f>MOD(INT(t_B4n3[[#This Row],[x]]/$B$1^INT(RIGHT(t_B4n3[[#Headers],[b2]],1))),$B$1)</f>
        <v>1</v>
      </c>
      <c r="F37" s="58">
        <f>MOD(INT(t_B4n3[[#This Row],[x]]/$B$1^INT(RIGHT(t_B4n3[[#Headers],[b1]],1))),$B$1)</f>
        <v>3</v>
      </c>
      <c r="G37" s="59">
        <f>MOD(INT(t_B4n3[[#This Row],[x]]/$B$1^INT(RIGHT(t_B4n3[[#Headers],[b0]],1))),$B$1)</f>
        <v>3</v>
      </c>
      <c r="H37" s="25" t="s">
        <v>0</v>
      </c>
      <c r="J37" s="16"/>
      <c r="K37" s="17"/>
      <c r="M37" s="17"/>
    </row>
    <row r="38" spans="1:13" x14ac:dyDescent="0.25">
      <c r="A38" s="1">
        <v>32</v>
      </c>
      <c r="B38" s="9">
        <f>ROUNDUP(t_B4n3_Fixed[[#This Row],[Row]]-$B$4,0)</f>
        <v>1</v>
      </c>
      <c r="C38" s="12">
        <f>t_B4n3[[#This Row],[x]]-D37</f>
        <v>1</v>
      </c>
      <c r="D38" s="138">
        <v>32</v>
      </c>
      <c r="E38" s="44">
        <f>MOD(INT(t_B4n3[[#This Row],[x]]/$B$1^INT(RIGHT(t_B4n3[[#Headers],[b2]],1))),$B$1)</f>
        <v>2</v>
      </c>
      <c r="F38" s="44">
        <f>MOD(INT(t_B4n3[[#This Row],[x]]/$B$1^INT(RIGHT(t_B4n3[[#Headers],[b1]],1))),$B$1)</f>
        <v>0</v>
      </c>
      <c r="G38" s="45">
        <f>MOD(INT(t_B4n3[[#This Row],[x]]/$B$1^INT(RIGHT(t_B4n3[[#Headers],[b0]],1))),$B$1)</f>
        <v>0</v>
      </c>
      <c r="H38" s="13"/>
      <c r="J38" s="16"/>
      <c r="K38" s="17"/>
      <c r="M38" s="17"/>
    </row>
    <row r="39" spans="1:13" x14ac:dyDescent="0.25">
      <c r="A39" s="1">
        <v>33</v>
      </c>
      <c r="B39" s="9">
        <f>ROUNDUP(t_B4n3_Fixed[[#This Row],[Row]]-$B$4,0)</f>
        <v>2</v>
      </c>
      <c r="C39" s="12">
        <f>t_B4n3[[#This Row],[x]]-D38</f>
        <v>1</v>
      </c>
      <c r="D39" s="138">
        <v>33</v>
      </c>
      <c r="E39" s="50">
        <f>MOD(INT(t_B4n3[[#This Row],[x]]/$B$1^INT(RIGHT(t_B4n3[[#Headers],[b2]],1))),$B$1)</f>
        <v>2</v>
      </c>
      <c r="F39" s="50">
        <f>MOD(INT(t_B4n3[[#This Row],[x]]/$B$1^INT(RIGHT(t_B4n3[[#Headers],[b1]],1))),$B$1)</f>
        <v>0</v>
      </c>
      <c r="G39" s="51">
        <f>MOD(INT(t_B4n3[[#This Row],[x]]/$B$1^INT(RIGHT(t_B4n3[[#Headers],[b0]],1))),$B$1)</f>
        <v>1</v>
      </c>
      <c r="H39" s="13"/>
      <c r="J39" s="16"/>
      <c r="K39" s="17"/>
      <c r="M39" s="17"/>
    </row>
    <row r="40" spans="1:13" x14ac:dyDescent="0.25">
      <c r="A40" s="1">
        <v>34</v>
      </c>
      <c r="B40" s="9">
        <f>ROUNDUP(t_B4n3_Fixed[[#This Row],[Row]]-$B$4,0)</f>
        <v>3</v>
      </c>
      <c r="C40" s="12">
        <f>t_B4n3[[#This Row],[x]]-D39</f>
        <v>1</v>
      </c>
      <c r="D40" s="138">
        <v>34</v>
      </c>
      <c r="E40" s="194">
        <f>MOD(INT(t_B4n3[[#This Row],[x]]/$B$1^INT(RIGHT(t_B4n3[[#Headers],[b2]],1))),$B$1)</f>
        <v>2</v>
      </c>
      <c r="F40" s="194">
        <f>MOD(INT(t_B4n3[[#This Row],[x]]/$B$1^INT(RIGHT(t_B4n3[[#Headers],[b1]],1))),$B$1)</f>
        <v>0</v>
      </c>
      <c r="G40" s="195">
        <f>MOD(INT(t_B4n3[[#This Row],[x]]/$B$1^INT(RIGHT(t_B4n3[[#Headers],[b0]],1))),$B$1)</f>
        <v>2</v>
      </c>
      <c r="H40" s="13"/>
      <c r="J40" s="16"/>
      <c r="K40" s="17"/>
      <c r="M40" s="17"/>
    </row>
    <row r="41" spans="1:13" x14ac:dyDescent="0.25">
      <c r="A41" s="1">
        <v>35</v>
      </c>
      <c r="B41" s="9">
        <f>ROUNDUP(t_B4n3_Fixed[[#This Row],[Row]]-$B$4,0)</f>
        <v>4</v>
      </c>
      <c r="C41" s="12">
        <f>t_B4n3[[#This Row],[x]]-D40</f>
        <v>1</v>
      </c>
      <c r="D41" s="138">
        <v>35</v>
      </c>
      <c r="E41" s="40">
        <f>MOD(INT(t_B4n3[[#This Row],[x]]/$B$1^INT(RIGHT(t_B4n3[[#Headers],[b2]],1))),$B$1)</f>
        <v>2</v>
      </c>
      <c r="F41" s="40">
        <f>MOD(INT(t_B4n3[[#This Row],[x]]/$B$1^INT(RIGHT(t_B4n3[[#Headers],[b1]],1))),$B$1)</f>
        <v>0</v>
      </c>
      <c r="G41" s="41">
        <f>MOD(INT(t_B4n3[[#This Row],[x]]/$B$1^INT(RIGHT(t_B4n3[[#Headers],[b0]],1))),$B$1)</f>
        <v>3</v>
      </c>
      <c r="H41" s="13"/>
      <c r="J41" s="16"/>
      <c r="K41" s="17"/>
      <c r="M41" s="17"/>
    </row>
    <row r="42" spans="1:13" x14ac:dyDescent="0.25">
      <c r="A42" s="1">
        <v>36</v>
      </c>
      <c r="B42" s="9">
        <f>ROUNDUP(t_B4n3_Fixed[[#This Row],[Row]]-$B$4,0)</f>
        <v>5</v>
      </c>
      <c r="C42" s="12">
        <f>t_B4n3[[#This Row],[x]]-D41</f>
        <v>1</v>
      </c>
      <c r="D42" s="138">
        <v>36</v>
      </c>
      <c r="E42" s="64">
        <f>MOD(INT(t_B4n3[[#This Row],[x]]/$B$1^INT(RIGHT(t_B4n3[[#Headers],[b2]],1))),$B$1)</f>
        <v>2</v>
      </c>
      <c r="F42" s="64">
        <f>MOD(INT(t_B4n3[[#This Row],[x]]/$B$1^INT(RIGHT(t_B4n3[[#Headers],[b1]],1))),$B$1)</f>
        <v>1</v>
      </c>
      <c r="G42" s="65">
        <f>MOD(INT(t_B4n3[[#This Row],[x]]/$B$1^INT(RIGHT(t_B4n3[[#Headers],[b0]],1))),$B$1)</f>
        <v>0</v>
      </c>
      <c r="H42" s="13"/>
      <c r="J42" s="16"/>
      <c r="K42" s="17"/>
      <c r="M42" s="17"/>
    </row>
    <row r="43" spans="1:13" x14ac:dyDescent="0.25">
      <c r="A43" s="1">
        <v>37</v>
      </c>
      <c r="B43" s="9">
        <f>ROUNDUP(t_B4n3_Fixed[[#This Row],[Row]]-$B$4,0)</f>
        <v>6</v>
      </c>
      <c r="C43" s="12">
        <f>t_B4n3[[#This Row],[x]]-D42</f>
        <v>1</v>
      </c>
      <c r="D43" s="2">
        <v>37</v>
      </c>
      <c r="E43" s="79">
        <f>MOD(INT(t_B4n3[[#This Row],[x]]/$B$1^INT(RIGHT(t_B4n3[[#Headers],[b2]],1))),$B$1)</f>
        <v>2</v>
      </c>
      <c r="F43" s="79">
        <f>MOD(INT(t_B4n3[[#This Row],[x]]/$B$1^INT(RIGHT(t_B4n3[[#Headers],[b1]],1))),$B$1)</f>
        <v>1</v>
      </c>
      <c r="G43" s="80">
        <f>MOD(INT(t_B4n3[[#This Row],[x]]/$B$1^INT(RIGHT(t_B4n3[[#Headers],[b0]],1))),$B$1)</f>
        <v>1</v>
      </c>
      <c r="H43" s="13"/>
      <c r="J43" s="16"/>
      <c r="K43" s="17"/>
      <c r="M43" s="17"/>
    </row>
    <row r="44" spans="1:13" x14ac:dyDescent="0.25">
      <c r="A44" s="1">
        <v>38</v>
      </c>
      <c r="B44" s="9">
        <f>ROUNDUP(t_B4n3_Fixed[[#This Row],[Row]]-$B$4,0)</f>
        <v>7</v>
      </c>
      <c r="C44" s="12">
        <f>t_B4n3[[#This Row],[x]]-D43</f>
        <v>1</v>
      </c>
      <c r="D44" s="2">
        <v>38</v>
      </c>
      <c r="E44" s="81">
        <f>MOD(INT(t_B4n3[[#This Row],[x]]/$B$1^INT(RIGHT(t_B4n3[[#Headers],[b2]],1))),$B$1)</f>
        <v>2</v>
      </c>
      <c r="F44" s="81">
        <f>MOD(INT(t_B4n3[[#This Row],[x]]/$B$1^INT(RIGHT(t_B4n3[[#Headers],[b1]],1))),$B$1)</f>
        <v>1</v>
      </c>
      <c r="G44" s="82">
        <f>MOD(INT(t_B4n3[[#This Row],[x]]/$B$1^INT(RIGHT(t_B4n3[[#Headers],[b0]],1))),$B$1)</f>
        <v>2</v>
      </c>
      <c r="H44" s="13"/>
      <c r="J44" s="16"/>
      <c r="K44" s="17"/>
      <c r="M44" s="17"/>
    </row>
    <row r="45" spans="1:13" x14ac:dyDescent="0.25">
      <c r="A45" s="1">
        <v>39</v>
      </c>
      <c r="B45" s="9">
        <f>ROUNDUP(t_B4n3_Fixed[[#This Row],[Row]]-$B$4,0)</f>
        <v>8</v>
      </c>
      <c r="C45" s="12">
        <f>t_B4n3[[#This Row],[x]]-D44</f>
        <v>1</v>
      </c>
      <c r="D45" s="138">
        <v>39</v>
      </c>
      <c r="E45" s="62">
        <f>MOD(INT(t_B4n3[[#This Row],[x]]/$B$1^INT(RIGHT(t_B4n3[[#Headers],[b2]],1))),$B$1)</f>
        <v>2</v>
      </c>
      <c r="F45" s="62">
        <f>MOD(INT(t_B4n3[[#This Row],[x]]/$B$1^INT(RIGHT(t_B4n3[[#Headers],[b1]],1))),$B$1)</f>
        <v>1</v>
      </c>
      <c r="G45" s="63">
        <f>MOD(INT(t_B4n3[[#This Row],[x]]/$B$1^INT(RIGHT(t_B4n3[[#Headers],[b0]],1))),$B$1)</f>
        <v>3</v>
      </c>
      <c r="H45" s="13"/>
      <c r="J45" s="16"/>
      <c r="K45" s="17"/>
      <c r="M45" s="17"/>
    </row>
    <row r="46" spans="1:13" x14ac:dyDescent="0.25">
      <c r="A46" s="1">
        <v>40</v>
      </c>
      <c r="B46" s="9">
        <f>ROUNDUP(t_B4n3_Fixed[[#This Row],[Row]]-$B$4,0)</f>
        <v>9</v>
      </c>
      <c r="C46" s="12">
        <f>t_B4n3[[#This Row],[x]]-D45</f>
        <v>1</v>
      </c>
      <c r="D46" s="138">
        <v>40</v>
      </c>
      <c r="E46" s="194">
        <f>MOD(INT(t_B4n3[[#This Row],[x]]/$B$1^INT(RIGHT(t_B4n3[[#Headers],[b2]],1))),$B$1)</f>
        <v>2</v>
      </c>
      <c r="F46" s="194">
        <f>MOD(INT(t_B4n3[[#This Row],[x]]/$B$1^INT(RIGHT(t_B4n3[[#Headers],[b1]],1))),$B$1)</f>
        <v>2</v>
      </c>
      <c r="G46" s="195">
        <f>MOD(INT(t_B4n3[[#This Row],[x]]/$B$1^INT(RIGHT(t_B4n3[[#Headers],[b0]],1))),$B$1)</f>
        <v>0</v>
      </c>
      <c r="H46" s="13"/>
      <c r="J46" s="16"/>
      <c r="K46" s="17"/>
      <c r="M46" s="17"/>
    </row>
    <row r="47" spans="1:13" x14ac:dyDescent="0.25">
      <c r="A47" s="1">
        <v>41</v>
      </c>
      <c r="B47" s="9">
        <f>ROUNDUP(t_B4n3_Fixed[[#This Row],[Row]]-$B$4,0)</f>
        <v>10</v>
      </c>
      <c r="C47" s="12">
        <f>t_B4n3[[#This Row],[x]]-D46</f>
        <v>1</v>
      </c>
      <c r="D47" s="2">
        <v>41</v>
      </c>
      <c r="E47" s="81">
        <f>MOD(INT(t_B4n3[[#This Row],[x]]/$B$1^INT(RIGHT(t_B4n3[[#Headers],[b2]],1))),$B$1)</f>
        <v>2</v>
      </c>
      <c r="F47" s="81">
        <f>MOD(INT(t_B4n3[[#This Row],[x]]/$B$1^INT(RIGHT(t_B4n3[[#Headers],[b1]],1))),$B$1)</f>
        <v>2</v>
      </c>
      <c r="G47" s="82">
        <f>MOD(INT(t_B4n3[[#This Row],[x]]/$B$1^INT(RIGHT(t_B4n3[[#Headers],[b0]],1))),$B$1)</f>
        <v>1</v>
      </c>
      <c r="H47" s="13"/>
      <c r="J47" s="16"/>
      <c r="K47" s="17"/>
      <c r="M47" s="17"/>
    </row>
    <row r="48" spans="1:13" x14ac:dyDescent="0.25">
      <c r="A48" s="1">
        <v>42</v>
      </c>
      <c r="B48" s="9">
        <f>ROUNDUP(t_B4n3_Fixed[[#This Row],[Row]]-$B$4,0)</f>
        <v>11</v>
      </c>
      <c r="C48" s="12">
        <f>t_B4n3[[#This Row],[x]]-D47</f>
        <v>1</v>
      </c>
      <c r="D48" s="2">
        <v>42</v>
      </c>
      <c r="E48" s="77">
        <f>MOD(INT(t_B4n3[[#This Row],[x]]/$B$1^INT(RIGHT(t_B4n3[[#Headers],[b2]],1))),$B$1)</f>
        <v>2</v>
      </c>
      <c r="F48" s="77">
        <f>MOD(INT(t_B4n3[[#This Row],[x]]/$B$1^INT(RIGHT(t_B4n3[[#Headers],[b1]],1))),$B$1)</f>
        <v>2</v>
      </c>
      <c r="G48" s="78">
        <f>MOD(INT(t_B4n3[[#This Row],[x]]/$B$1^INT(RIGHT(t_B4n3[[#Headers],[b0]],1))),$B$1)</f>
        <v>2</v>
      </c>
      <c r="H48" s="13"/>
      <c r="J48" s="16"/>
      <c r="K48" s="17"/>
      <c r="M48" s="17"/>
    </row>
    <row r="49" spans="1:13" x14ac:dyDescent="0.25">
      <c r="A49" s="1">
        <v>43</v>
      </c>
      <c r="B49" s="9">
        <f>ROUNDUP(t_B4n3_Fixed[[#This Row],[Row]]-$B$4,0)</f>
        <v>12</v>
      </c>
      <c r="C49" s="12">
        <f>t_B4n3[[#This Row],[x]]-D48</f>
        <v>1</v>
      </c>
      <c r="D49" s="138">
        <v>43</v>
      </c>
      <c r="E49" s="60">
        <f>MOD(INT(t_B4n3[[#This Row],[x]]/$B$1^INT(RIGHT(t_B4n3[[#Headers],[b2]],1))),$B$1)</f>
        <v>2</v>
      </c>
      <c r="F49" s="60">
        <f>MOD(INT(t_B4n3[[#This Row],[x]]/$B$1^INT(RIGHT(t_B4n3[[#Headers],[b1]],1))),$B$1)</f>
        <v>2</v>
      </c>
      <c r="G49" s="61">
        <f>MOD(INT(t_B4n3[[#This Row],[x]]/$B$1^INT(RIGHT(t_B4n3[[#Headers],[b0]],1))),$B$1)</f>
        <v>3</v>
      </c>
      <c r="H49" s="13"/>
      <c r="J49" s="16"/>
      <c r="K49" s="17"/>
      <c r="M49" s="17"/>
    </row>
    <row r="50" spans="1:13" x14ac:dyDescent="0.25">
      <c r="A50" s="1">
        <v>44</v>
      </c>
      <c r="B50" s="9">
        <f>ROUNDUP(t_B4n3_Fixed[[#This Row],[Row]]-$B$4,0)</f>
        <v>13</v>
      </c>
      <c r="C50" s="12">
        <f>t_B4n3[[#This Row],[x]]-D49</f>
        <v>1</v>
      </c>
      <c r="D50" s="139">
        <v>44</v>
      </c>
      <c r="E50" s="68">
        <f>MOD(INT(t_B4n3[[#This Row],[x]]/$B$1^INT(RIGHT(t_B4n3[[#Headers],[b2]],1))),$B$1)</f>
        <v>2</v>
      </c>
      <c r="F50" s="68">
        <f>MOD(INT(t_B4n3[[#This Row],[x]]/$B$1^INT(RIGHT(t_B4n3[[#Headers],[b1]],1))),$B$1)</f>
        <v>3</v>
      </c>
      <c r="G50" s="69">
        <f>MOD(INT(t_B4n3[[#This Row],[x]]/$B$1^INT(RIGHT(t_B4n3[[#Headers],[b0]],1))),$B$1)</f>
        <v>0</v>
      </c>
      <c r="H50" s="13"/>
      <c r="J50" s="16"/>
      <c r="K50" s="17"/>
      <c r="M50" s="17"/>
    </row>
    <row r="51" spans="1:13" x14ac:dyDescent="0.25">
      <c r="A51" s="1">
        <v>45</v>
      </c>
      <c r="B51" s="9">
        <f>ROUNDUP(t_B4n3_Fixed[[#This Row],[Row]]-$B$4,0)</f>
        <v>14</v>
      </c>
      <c r="C51" s="12">
        <f>t_B4n3[[#This Row],[x]]-D50</f>
        <v>1</v>
      </c>
      <c r="D51" s="139">
        <v>45</v>
      </c>
      <c r="E51" s="70">
        <f>MOD(INT(t_B4n3[[#This Row],[x]]/$B$1^INT(RIGHT(t_B4n3[[#Headers],[b2]],1))),$B$1)</f>
        <v>2</v>
      </c>
      <c r="F51" s="70">
        <f>MOD(INT(t_B4n3[[#This Row],[x]]/$B$1^INT(RIGHT(t_B4n3[[#Headers],[b1]],1))),$B$1)</f>
        <v>3</v>
      </c>
      <c r="G51" s="71">
        <f>MOD(INT(t_B4n3[[#This Row],[x]]/$B$1^INT(RIGHT(t_B4n3[[#Headers],[b0]],1))),$B$1)</f>
        <v>1</v>
      </c>
      <c r="H51" s="13"/>
      <c r="J51" s="16"/>
      <c r="K51" s="17"/>
      <c r="M51" s="17"/>
    </row>
    <row r="52" spans="1:13" x14ac:dyDescent="0.25">
      <c r="A52" s="1">
        <v>46</v>
      </c>
      <c r="B52" s="9">
        <f>ROUNDUP(t_B4n3_Fixed[[#This Row],[Row]]-$B$4,0)</f>
        <v>15</v>
      </c>
      <c r="C52" s="12">
        <f>t_B4n3[[#This Row],[x]]-D51</f>
        <v>1</v>
      </c>
      <c r="D52" s="139">
        <v>46</v>
      </c>
      <c r="E52" s="60">
        <f>MOD(INT(t_B4n3[[#This Row],[x]]/$B$1^INT(RIGHT(t_B4n3[[#Headers],[b2]],1))),$B$1)</f>
        <v>2</v>
      </c>
      <c r="F52" s="60">
        <f>MOD(INT(t_B4n3[[#This Row],[x]]/$B$1^INT(RIGHT(t_B4n3[[#Headers],[b1]],1))),$B$1)</f>
        <v>3</v>
      </c>
      <c r="G52" s="61">
        <f>MOD(INT(t_B4n3[[#This Row],[x]]/$B$1^INT(RIGHT(t_B4n3[[#Headers],[b0]],1))),$B$1)</f>
        <v>2</v>
      </c>
      <c r="H52" s="13"/>
      <c r="J52" s="16"/>
      <c r="K52" s="17"/>
      <c r="M52" s="17"/>
    </row>
    <row r="53" spans="1:13" x14ac:dyDescent="0.25">
      <c r="A53" s="1">
        <v>47</v>
      </c>
      <c r="B53" s="9">
        <f>ROUNDUP(t_B4n3_Fixed[[#This Row],[Row]]-$B$4,0)</f>
        <v>16</v>
      </c>
      <c r="C53" s="12">
        <f>t_B4n3[[#This Row],[x]]-D52</f>
        <v>1</v>
      </c>
      <c r="D53" s="1">
        <v>47</v>
      </c>
      <c r="E53" s="54">
        <f>MOD(INT(t_B4n3[[#This Row],[x]]/$B$1^INT(RIGHT(t_B4n3[[#Headers],[b2]],1))),$B$1)</f>
        <v>2</v>
      </c>
      <c r="F53" s="54">
        <f>MOD(INT(t_B4n3[[#This Row],[x]]/$B$1^INT(RIGHT(t_B4n3[[#Headers],[b1]],1))),$B$1)</f>
        <v>3</v>
      </c>
      <c r="G53" s="55">
        <f>MOD(INT(t_B4n3[[#This Row],[x]]/$B$1^INT(RIGHT(t_B4n3[[#Headers],[b0]],1))),$B$1)</f>
        <v>3</v>
      </c>
      <c r="H53" s="13"/>
      <c r="J53" s="16"/>
      <c r="K53" s="17"/>
      <c r="M53" s="17"/>
    </row>
    <row r="54" spans="1:13" x14ac:dyDescent="0.25">
      <c r="A54" s="1">
        <v>48</v>
      </c>
      <c r="B54" s="9">
        <f>ROUNDUP(t_B4n3_Fixed[[#This Row],[Row]]-$B$4,0)</f>
        <v>17</v>
      </c>
      <c r="C54" s="12">
        <f>t_B4n3[[#This Row],[x]]-D53</f>
        <v>1</v>
      </c>
      <c r="D54" s="1">
        <v>48</v>
      </c>
      <c r="E54" s="73">
        <f>MOD(INT(t_B4n3[[#This Row],[x]]/$B$1^INT(RIGHT(t_B4n3[[#Headers],[b2]],1))),$B$1)</f>
        <v>3</v>
      </c>
      <c r="F54" s="73">
        <f>MOD(INT(t_B4n3[[#This Row],[x]]/$B$1^INT(RIGHT(t_B4n3[[#Headers],[b1]],1))),$B$1)</f>
        <v>0</v>
      </c>
      <c r="G54" s="74">
        <f>MOD(INT(t_B4n3[[#This Row],[x]]/$B$1^INT(RIGHT(t_B4n3[[#Headers],[b0]],1))),$B$1)</f>
        <v>0</v>
      </c>
      <c r="H54" s="13"/>
      <c r="J54" s="16"/>
      <c r="K54" s="17"/>
      <c r="M54" s="17"/>
    </row>
    <row r="55" spans="1:13" x14ac:dyDescent="0.25">
      <c r="A55" s="1">
        <v>49</v>
      </c>
      <c r="B55" s="9">
        <f>ROUNDUP(t_B4n3_Fixed[[#This Row],[Row]]-$B$4,0)</f>
        <v>18</v>
      </c>
      <c r="C55" s="12">
        <f>t_B4n3[[#This Row],[x]]-D54</f>
        <v>1</v>
      </c>
      <c r="D55" s="139">
        <v>49</v>
      </c>
      <c r="E55" s="83">
        <f>MOD(INT(t_B4n3[[#This Row],[x]]/$B$1^INT(RIGHT(t_B4n3[[#Headers],[b2]],1))),$B$1)</f>
        <v>3</v>
      </c>
      <c r="F55" s="83">
        <f>MOD(INT(t_B4n3[[#This Row],[x]]/$B$1^INT(RIGHT(t_B4n3[[#Headers],[b1]],1))),$B$1)</f>
        <v>0</v>
      </c>
      <c r="G55" s="84">
        <f>MOD(INT(t_B4n3[[#This Row],[x]]/$B$1^INT(RIGHT(t_B4n3[[#Headers],[b0]],1))),$B$1)</f>
        <v>1</v>
      </c>
      <c r="H55" s="13"/>
      <c r="J55" s="16"/>
      <c r="K55" s="17"/>
      <c r="M55" s="17"/>
    </row>
    <row r="56" spans="1:13" x14ac:dyDescent="0.25">
      <c r="A56" s="1">
        <v>50</v>
      </c>
      <c r="B56" s="9">
        <f>ROUNDUP(t_B4n3_Fixed[[#This Row],[Row]]-$B$4,0)</f>
        <v>19</v>
      </c>
      <c r="C56" s="12">
        <f>t_B4n3[[#This Row],[x]]-D55</f>
        <v>1</v>
      </c>
      <c r="D56" s="139">
        <v>50</v>
      </c>
      <c r="E56" s="68">
        <f>MOD(INT(t_B4n3[[#This Row],[x]]/$B$1^INT(RIGHT(t_B4n3[[#Headers],[b2]],1))),$B$1)</f>
        <v>3</v>
      </c>
      <c r="F56" s="68">
        <f>MOD(INT(t_B4n3[[#This Row],[x]]/$B$1^INT(RIGHT(t_B4n3[[#Headers],[b1]],1))),$B$1)</f>
        <v>0</v>
      </c>
      <c r="G56" s="69">
        <f>MOD(INT(t_B4n3[[#This Row],[x]]/$B$1^INT(RIGHT(t_B4n3[[#Headers],[b0]],1))),$B$1)</f>
        <v>2</v>
      </c>
      <c r="H56" s="13"/>
      <c r="J56" s="16"/>
      <c r="K56" s="17"/>
      <c r="M56" s="17"/>
    </row>
    <row r="57" spans="1:13" x14ac:dyDescent="0.25">
      <c r="A57" s="1">
        <v>51</v>
      </c>
      <c r="B57" s="9">
        <f>ROUNDUP(t_B4n3_Fixed[[#This Row],[Row]]-$B$4,0)</f>
        <v>20</v>
      </c>
      <c r="C57" s="12">
        <f>t_B4n3[[#This Row],[x]]-D56</f>
        <v>1</v>
      </c>
      <c r="D57" s="9">
        <v>51</v>
      </c>
      <c r="E57" s="185">
        <f>MOD(INT(t_B4n3[[#This Row],[x]]/$B$1^INT(RIGHT(t_B4n3[[#Headers],[b2]],1))),$B$1)</f>
        <v>3</v>
      </c>
      <c r="F57" s="185">
        <f>MOD(INT(t_B4n3[[#This Row],[x]]/$B$1^INT(RIGHT(t_B4n3[[#Headers],[b1]],1))),$B$1)</f>
        <v>0</v>
      </c>
      <c r="G57" s="184">
        <f>MOD(INT(t_B4n3[[#This Row],[x]]/$B$1^INT(RIGHT(t_B4n3[[#Headers],[b0]],1))),$B$1)</f>
        <v>3</v>
      </c>
      <c r="H57" s="13"/>
      <c r="J57" s="16"/>
      <c r="K57" s="17"/>
      <c r="M57" s="17"/>
    </row>
    <row r="58" spans="1:13" x14ac:dyDescent="0.25">
      <c r="A58" s="1">
        <v>52</v>
      </c>
      <c r="B58" s="9">
        <f>ROUNDUP(t_B4n3_Fixed[[#This Row],[Row]]-$B$4,0)</f>
        <v>21</v>
      </c>
      <c r="C58" s="12">
        <f>t_B4n3[[#This Row],[x]]-D57</f>
        <v>1</v>
      </c>
      <c r="D58" s="139">
        <v>52</v>
      </c>
      <c r="E58" s="52">
        <f>MOD(INT(t_B4n3[[#This Row],[x]]/$B$1^INT(RIGHT(t_B4n3[[#Headers],[b2]],1))),$B$1)</f>
        <v>3</v>
      </c>
      <c r="F58" s="52">
        <f>MOD(INT(t_B4n3[[#This Row],[x]]/$B$1^INT(RIGHT(t_B4n3[[#Headers],[b1]],1))),$B$1)</f>
        <v>1</v>
      </c>
      <c r="G58" s="53">
        <f>MOD(INT(t_B4n3[[#This Row],[x]]/$B$1^INT(RIGHT(t_B4n3[[#Headers],[b0]],1))),$B$1)</f>
        <v>0</v>
      </c>
      <c r="H58" s="13"/>
      <c r="J58" s="16"/>
      <c r="K58" s="17"/>
      <c r="M58" s="17"/>
    </row>
    <row r="59" spans="1:13" x14ac:dyDescent="0.25">
      <c r="A59" s="1">
        <v>53</v>
      </c>
      <c r="B59" s="9">
        <f>ROUNDUP(t_B4n3_Fixed[[#This Row],[Row]]-$B$4,0)</f>
        <v>22</v>
      </c>
      <c r="C59" s="12">
        <f>t_B4n3[[#This Row],[x]]-D58</f>
        <v>1</v>
      </c>
      <c r="D59" s="139">
        <v>53</v>
      </c>
      <c r="E59" s="46">
        <f>MOD(INT(t_B4n3[[#This Row],[x]]/$B$1^INT(RIGHT(t_B4n3[[#Headers],[b2]],1))),$B$1)</f>
        <v>3</v>
      </c>
      <c r="F59" s="46">
        <f>MOD(INT(t_B4n3[[#This Row],[x]]/$B$1^INT(RIGHT(t_B4n3[[#Headers],[b1]],1))),$B$1)</f>
        <v>1</v>
      </c>
      <c r="G59" s="47">
        <f>MOD(INT(t_B4n3[[#This Row],[x]]/$B$1^INT(RIGHT(t_B4n3[[#Headers],[b0]],1))),$B$1)</f>
        <v>1</v>
      </c>
      <c r="H59" s="13"/>
      <c r="J59" s="16"/>
      <c r="K59" s="17"/>
      <c r="M59" s="17"/>
    </row>
    <row r="60" spans="1:13" x14ac:dyDescent="0.25">
      <c r="A60" s="1">
        <v>54</v>
      </c>
      <c r="B60" s="9">
        <f>ROUNDUP(t_B4n3_Fixed[[#This Row],[Row]]-$B$4,0)</f>
        <v>23</v>
      </c>
      <c r="C60" s="12">
        <f>t_B4n3[[#This Row],[x]]-D59</f>
        <v>1</v>
      </c>
      <c r="D60" s="139">
        <v>54</v>
      </c>
      <c r="E60" s="70">
        <f>MOD(INT(t_B4n3[[#This Row],[x]]/$B$1^INT(RIGHT(t_B4n3[[#Headers],[b2]],1))),$B$1)</f>
        <v>3</v>
      </c>
      <c r="F60" s="70">
        <f>MOD(INT(t_B4n3[[#This Row],[x]]/$B$1^INT(RIGHT(t_B4n3[[#Headers],[b1]],1))),$B$1)</f>
        <v>1</v>
      </c>
      <c r="G60" s="71">
        <f>MOD(INT(t_B4n3[[#This Row],[x]]/$B$1^INT(RIGHT(t_B4n3[[#Headers],[b0]],1))),$B$1)</f>
        <v>2</v>
      </c>
      <c r="H60" s="13"/>
      <c r="J60" s="16"/>
      <c r="K60" s="17"/>
      <c r="M60" s="17"/>
    </row>
    <row r="61" spans="1:13" x14ac:dyDescent="0.25">
      <c r="A61" s="1">
        <v>55</v>
      </c>
      <c r="B61" s="9">
        <f>ROUNDUP(t_B4n3_Fixed[[#This Row],[Row]]-$B$4,0)</f>
        <v>24</v>
      </c>
      <c r="C61" s="12">
        <f>t_B4n3[[#This Row],[x]]-D60</f>
        <v>1</v>
      </c>
      <c r="D61" s="139">
        <v>55</v>
      </c>
      <c r="E61" s="56">
        <f>MOD(INT(t_B4n3[[#This Row],[x]]/$B$1^INT(RIGHT(t_B4n3[[#Headers],[b2]],1))),$B$1)</f>
        <v>3</v>
      </c>
      <c r="F61" s="56">
        <f>MOD(INT(t_B4n3[[#This Row],[x]]/$B$1^INT(RIGHT(t_B4n3[[#Headers],[b1]],1))),$B$1)</f>
        <v>1</v>
      </c>
      <c r="G61" s="57">
        <f>MOD(INT(t_B4n3[[#This Row],[x]]/$B$1^INT(RIGHT(t_B4n3[[#Headers],[b0]],1))),$B$1)</f>
        <v>3</v>
      </c>
      <c r="H61" s="13"/>
      <c r="J61" s="16"/>
      <c r="K61" s="17"/>
      <c r="M61" s="17"/>
    </row>
    <row r="62" spans="1:13" x14ac:dyDescent="0.25">
      <c r="A62" s="1">
        <v>56</v>
      </c>
      <c r="B62" s="9">
        <f>ROUNDUP(t_B4n3_Fixed[[#This Row],[Row]]-$B$4,0)</f>
        <v>25</v>
      </c>
      <c r="C62" s="12">
        <f>t_B4n3[[#This Row],[x]]-D61</f>
        <v>1</v>
      </c>
      <c r="D62" s="139">
        <v>56</v>
      </c>
      <c r="E62" s="40">
        <f>MOD(INT(t_B4n3[[#This Row],[x]]/$B$1^INT(RIGHT(t_B4n3[[#Headers],[b2]],1))),$B$1)</f>
        <v>3</v>
      </c>
      <c r="F62" s="40">
        <f>MOD(INT(t_B4n3[[#This Row],[x]]/$B$1^INT(RIGHT(t_B4n3[[#Headers],[b1]],1))),$B$1)</f>
        <v>2</v>
      </c>
      <c r="G62" s="41">
        <f>MOD(INT(t_B4n3[[#This Row],[x]]/$B$1^INT(RIGHT(t_B4n3[[#Headers],[b0]],1))),$B$1)</f>
        <v>0</v>
      </c>
      <c r="H62" s="13"/>
      <c r="J62" s="16"/>
      <c r="K62" s="17"/>
      <c r="M62" s="17"/>
    </row>
    <row r="63" spans="1:13" x14ac:dyDescent="0.25">
      <c r="A63" s="1">
        <v>57</v>
      </c>
      <c r="B63" s="9">
        <f>ROUNDUP(t_B4n3_Fixed[[#This Row],[Row]]-$B$4,0)</f>
        <v>26</v>
      </c>
      <c r="C63" s="12">
        <f>t_B4n3[[#This Row],[x]]-D62</f>
        <v>1</v>
      </c>
      <c r="D63" s="139">
        <v>57</v>
      </c>
      <c r="E63" s="62">
        <f>MOD(INT(t_B4n3[[#This Row],[x]]/$B$1^INT(RIGHT(t_B4n3[[#Headers],[b2]],1))),$B$1)</f>
        <v>3</v>
      </c>
      <c r="F63" s="62">
        <f>MOD(INT(t_B4n3[[#This Row],[x]]/$B$1^INT(RIGHT(t_B4n3[[#Headers],[b1]],1))),$B$1)</f>
        <v>2</v>
      </c>
      <c r="G63" s="63">
        <f>MOD(INT(t_B4n3[[#This Row],[x]]/$B$1^INT(RIGHT(t_B4n3[[#Headers],[b0]],1))),$B$1)</f>
        <v>1</v>
      </c>
      <c r="H63" s="13"/>
      <c r="J63" s="16"/>
      <c r="K63" s="17"/>
      <c r="M63" s="17"/>
    </row>
    <row r="64" spans="1:13" x14ac:dyDescent="0.25">
      <c r="A64" s="1">
        <v>58</v>
      </c>
      <c r="B64" s="9">
        <f>ROUNDUP(t_B4n3_Fixed[[#This Row],[Row]]-$B$4,0)</f>
        <v>27</v>
      </c>
      <c r="C64" s="12">
        <f>t_B4n3[[#This Row],[x]]-D63</f>
        <v>1</v>
      </c>
      <c r="D64" s="139">
        <v>58</v>
      </c>
      <c r="E64" s="60">
        <f>MOD(INT(t_B4n3[[#This Row],[x]]/$B$1^INT(RIGHT(t_B4n3[[#Headers],[b2]],1))),$B$1)</f>
        <v>3</v>
      </c>
      <c r="F64" s="60">
        <f>MOD(INT(t_B4n3[[#This Row],[x]]/$B$1^INT(RIGHT(t_B4n3[[#Headers],[b1]],1))),$B$1)</f>
        <v>2</v>
      </c>
      <c r="G64" s="61">
        <f>MOD(INT(t_B4n3[[#This Row],[x]]/$B$1^INT(RIGHT(t_B4n3[[#Headers],[b0]],1))),$B$1)</f>
        <v>2</v>
      </c>
      <c r="H64" s="13"/>
      <c r="J64" s="16"/>
      <c r="K64" s="17"/>
      <c r="M64" s="17"/>
    </row>
    <row r="65" spans="1:13" x14ac:dyDescent="0.25">
      <c r="A65" s="1">
        <v>59</v>
      </c>
      <c r="B65" s="9">
        <f>ROUNDUP(t_B4n3_Fixed[[#This Row],[Row]]-$B$4,0)</f>
        <v>28</v>
      </c>
      <c r="C65" s="12">
        <f>t_B4n3[[#This Row],[x]]-D64</f>
        <v>1</v>
      </c>
      <c r="D65" s="1">
        <v>59</v>
      </c>
      <c r="E65" s="54">
        <f>MOD(INT(t_B4n3[[#This Row],[x]]/$B$1^INT(RIGHT(t_B4n3[[#Headers],[b2]],1))),$B$1)</f>
        <v>3</v>
      </c>
      <c r="F65" s="54">
        <f>MOD(INT(t_B4n3[[#This Row],[x]]/$B$1^INT(RIGHT(t_B4n3[[#Headers],[b1]],1))),$B$1)</f>
        <v>2</v>
      </c>
      <c r="G65" s="55">
        <f>MOD(INT(t_B4n3[[#This Row],[x]]/$B$1^INT(RIGHT(t_B4n3[[#Headers],[b0]],1))),$B$1)</f>
        <v>3</v>
      </c>
      <c r="H65" s="13"/>
      <c r="J65" s="16"/>
      <c r="K65" s="17"/>
      <c r="M65" s="17"/>
    </row>
    <row r="66" spans="1:13" x14ac:dyDescent="0.25">
      <c r="A66" s="1">
        <v>60</v>
      </c>
      <c r="B66" s="9">
        <f>ROUNDUP(t_B4n3_Fixed[[#This Row],[Row]]-$B$4,0)</f>
        <v>29</v>
      </c>
      <c r="C66" s="12">
        <f>t_B4n3[[#This Row],[x]]-D65</f>
        <v>1</v>
      </c>
      <c r="D66" s="1">
        <v>60</v>
      </c>
      <c r="E66" s="185">
        <f>MOD(INT(t_B4n3[[#This Row],[x]]/$B$1^INT(RIGHT(t_B4n3[[#Headers],[b2]],1))),$B$1)</f>
        <v>3</v>
      </c>
      <c r="F66" s="185">
        <f>MOD(INT(t_B4n3[[#This Row],[x]]/$B$1^INT(RIGHT(t_B4n3[[#Headers],[b1]],1))),$B$1)</f>
        <v>3</v>
      </c>
      <c r="G66" s="184">
        <f>MOD(INT(t_B4n3[[#This Row],[x]]/$B$1^INT(RIGHT(t_B4n3[[#Headers],[b0]],1))),$B$1)</f>
        <v>0</v>
      </c>
      <c r="H66" s="13"/>
      <c r="J66" s="16"/>
      <c r="K66" s="17"/>
      <c r="M66" s="17"/>
    </row>
    <row r="67" spans="1:13" x14ac:dyDescent="0.25">
      <c r="A67" s="1">
        <v>61</v>
      </c>
      <c r="B67" s="9">
        <f>ROUNDUP(t_B4n3_Fixed[[#This Row],[Row]]-$B$4,0)</f>
        <v>30</v>
      </c>
      <c r="C67" s="12">
        <f>t_B4n3[[#This Row],[x]]-D66</f>
        <v>1</v>
      </c>
      <c r="D67" s="139">
        <v>61</v>
      </c>
      <c r="E67" s="56">
        <f>MOD(INT(t_B4n3[[#This Row],[x]]/$B$1^INT(RIGHT(t_B4n3[[#Headers],[b2]],1))),$B$1)</f>
        <v>3</v>
      </c>
      <c r="F67" s="56">
        <f>MOD(INT(t_B4n3[[#This Row],[x]]/$B$1^INT(RIGHT(t_B4n3[[#Headers],[b1]],1))),$B$1)</f>
        <v>3</v>
      </c>
      <c r="G67" s="57">
        <f>MOD(INT(t_B4n3[[#This Row],[x]]/$B$1^INT(RIGHT(t_B4n3[[#Headers],[b0]],1))),$B$1)</f>
        <v>1</v>
      </c>
      <c r="H67" s="13"/>
      <c r="J67" s="16"/>
      <c r="K67" s="17"/>
      <c r="M67" s="17"/>
    </row>
    <row r="68" spans="1:13" x14ac:dyDescent="0.25">
      <c r="A68" s="1">
        <v>62</v>
      </c>
      <c r="B68" s="9">
        <f>ROUNDUP(t_B4n3_Fixed[[#This Row],[Row]]-$B$4,0)</f>
        <v>31</v>
      </c>
      <c r="C68" s="12">
        <f>t_B4n3[[#This Row],[x]]-D67</f>
        <v>1</v>
      </c>
      <c r="D68" s="9">
        <v>62</v>
      </c>
      <c r="E68" s="54">
        <f>MOD(INT(t_B4n3[[#This Row],[x]]/$B$1^INT(RIGHT(t_B4n3[[#Headers],[b2]],1))),$B$1)</f>
        <v>3</v>
      </c>
      <c r="F68" s="54">
        <f>MOD(INT(t_B4n3[[#This Row],[x]]/$B$1^INT(RIGHT(t_B4n3[[#Headers],[b1]],1))),$B$1)</f>
        <v>3</v>
      </c>
      <c r="G68" s="55">
        <f>MOD(INT(t_B4n3[[#This Row],[x]]/$B$1^INT(RIGHT(t_B4n3[[#Headers],[b0]],1))),$B$1)</f>
        <v>2</v>
      </c>
      <c r="H68" s="13"/>
      <c r="J68" s="16"/>
      <c r="K68" s="17"/>
      <c r="M68" s="17"/>
    </row>
    <row r="69" spans="1:13" x14ac:dyDescent="0.25">
      <c r="A69" s="1">
        <v>63</v>
      </c>
      <c r="B69" s="9">
        <f>ROUNDUP(t_B4n3_Fixed[[#This Row],[Row]]-$B$4,0)</f>
        <v>32</v>
      </c>
      <c r="C69" s="12">
        <f>t_B4n3[[#This Row],[x]]-D68</f>
        <v>1</v>
      </c>
      <c r="D69" s="2">
        <v>63</v>
      </c>
      <c r="E69" s="75">
        <f>MOD(INT(t_B4n3[[#This Row],[x]]/$B$1^INT(RIGHT(t_B4n3[[#Headers],[b2]],1))),$B$1)</f>
        <v>3</v>
      </c>
      <c r="F69" s="75">
        <f>MOD(INT(t_B4n3[[#This Row],[x]]/$B$1^INT(RIGHT(t_B4n3[[#Headers],[b1]],1))),$B$1)</f>
        <v>3</v>
      </c>
      <c r="G69" s="76">
        <f>MOD(INT(t_B4n3[[#This Row],[x]]/$B$1^INT(RIGHT(t_B4n3[[#Headers],[b0]],1))),$B$1)</f>
        <v>3</v>
      </c>
      <c r="H69" s="13"/>
      <c r="J69" s="2"/>
      <c r="K69" s="17"/>
      <c r="M69" s="17"/>
    </row>
    <row r="70" spans="1:13" x14ac:dyDescent="0.25">
      <c r="A70" s="198" t="s">
        <v>1</v>
      </c>
      <c r="B70" s="139"/>
      <c r="C70">
        <f>SUBTOTAL(109,t_B4n3_Fixed[Interval])</f>
        <v>63</v>
      </c>
      <c r="D70" t="s">
        <v>1</v>
      </c>
      <c r="E70">
        <f>SUBTOTAL(109,t_B4n3[b2])</f>
        <v>96</v>
      </c>
      <c r="F70">
        <f>SUBTOTAL(109,t_B4n3[b1])</f>
        <v>96</v>
      </c>
      <c r="G70">
        <f>SUBTOTAL(109,t_B4n3[b0])</f>
        <v>96</v>
      </c>
      <c r="H70" s="13"/>
      <c r="J70" s="17"/>
      <c r="K70" s="17"/>
      <c r="M70" s="17"/>
    </row>
    <row r="71" spans="1:13" x14ac:dyDescent="0.25">
      <c r="G71" s="13"/>
      <c r="J71" s="17"/>
      <c r="K71" s="17"/>
    </row>
    <row r="72" spans="1:13" x14ac:dyDescent="0.25">
      <c r="G72" s="13"/>
      <c r="J72" s="17"/>
      <c r="K72" s="17"/>
    </row>
    <row r="73" spans="1:13" x14ac:dyDescent="0.25">
      <c r="G73" s="13"/>
      <c r="J73" s="17"/>
      <c r="K73" s="17"/>
    </row>
    <row r="74" spans="1:13" x14ac:dyDescent="0.25">
      <c r="G74" s="13"/>
      <c r="J74" s="17"/>
      <c r="K74" s="17"/>
    </row>
    <row r="75" spans="1:13" x14ac:dyDescent="0.25">
      <c r="G75" s="13"/>
      <c r="J75" s="17"/>
      <c r="K75" s="17"/>
    </row>
    <row r="76" spans="1:13" x14ac:dyDescent="0.25">
      <c r="G76" s="13"/>
      <c r="J76" s="17"/>
      <c r="K76" s="17"/>
    </row>
    <row r="77" spans="1:13" x14ac:dyDescent="0.25">
      <c r="G77" s="13"/>
      <c r="J77" s="17"/>
      <c r="K77" s="17"/>
    </row>
    <row r="78" spans="1:13" x14ac:dyDescent="0.25">
      <c r="G78" s="13"/>
      <c r="J78" s="17"/>
      <c r="K78" s="17"/>
    </row>
    <row r="79" spans="1:13" x14ac:dyDescent="0.25">
      <c r="G79" s="13"/>
      <c r="J79" s="17"/>
      <c r="K79" s="17"/>
    </row>
    <row r="80" spans="1:13" x14ac:dyDescent="0.25">
      <c r="G80" s="13"/>
      <c r="J80" s="17"/>
      <c r="K80" s="17"/>
    </row>
    <row r="81" spans="7:11" x14ac:dyDescent="0.25">
      <c r="G81" s="13"/>
      <c r="J81" s="17"/>
      <c r="K81" s="17"/>
    </row>
    <row r="82" spans="7:11" x14ac:dyDescent="0.25">
      <c r="G82" s="13"/>
      <c r="J82" s="17"/>
      <c r="K82" s="17"/>
    </row>
    <row r="83" spans="7:11" x14ac:dyDescent="0.25">
      <c r="G83" s="13"/>
      <c r="J83" s="17"/>
      <c r="K83" s="17"/>
    </row>
    <row r="84" spans="7:11" x14ac:dyDescent="0.25">
      <c r="G84" s="13"/>
      <c r="J84" s="17"/>
      <c r="K84" s="17"/>
    </row>
    <row r="85" spans="7:11" x14ac:dyDescent="0.25">
      <c r="G85" s="13"/>
      <c r="J85" s="17"/>
      <c r="K85" s="17"/>
    </row>
    <row r="86" spans="7:11" x14ac:dyDescent="0.25">
      <c r="G86" s="13"/>
      <c r="J86" s="17"/>
      <c r="K86" s="17"/>
    </row>
    <row r="87" spans="7:11" x14ac:dyDescent="0.25">
      <c r="G87" s="13"/>
      <c r="J87" s="17"/>
      <c r="K87" s="17"/>
    </row>
    <row r="88" spans="7:11" x14ac:dyDescent="0.25">
      <c r="G88" s="13"/>
      <c r="J88" s="17"/>
      <c r="K88" s="17"/>
    </row>
    <row r="89" spans="7:11" x14ac:dyDescent="0.25">
      <c r="G89" s="13"/>
      <c r="J89" s="17"/>
      <c r="K89" s="17"/>
    </row>
    <row r="90" spans="7:11" x14ac:dyDescent="0.25">
      <c r="G90" s="13"/>
      <c r="J90" s="17"/>
      <c r="K90" s="17"/>
    </row>
    <row r="91" spans="7:11" x14ac:dyDescent="0.25">
      <c r="G91" s="13"/>
      <c r="J91" s="17"/>
      <c r="K91" s="17"/>
    </row>
    <row r="92" spans="7:11" x14ac:dyDescent="0.25">
      <c r="G92" s="13"/>
      <c r="J92" s="17"/>
      <c r="K92" s="17"/>
    </row>
    <row r="93" spans="7:11" x14ac:dyDescent="0.25">
      <c r="G93" s="13"/>
      <c r="J93" s="17"/>
      <c r="K93" s="17"/>
    </row>
    <row r="94" spans="7:11" x14ac:dyDescent="0.25">
      <c r="G94" s="13"/>
      <c r="J94" s="17"/>
      <c r="K94" s="17"/>
    </row>
    <row r="95" spans="7:11" x14ac:dyDescent="0.25">
      <c r="G95" s="13"/>
      <c r="J95" s="17"/>
      <c r="K95" s="17"/>
    </row>
    <row r="96" spans="7:11" x14ac:dyDescent="0.25">
      <c r="G96" s="13"/>
      <c r="J96" s="17"/>
      <c r="K96" s="17"/>
    </row>
    <row r="97" spans="7:11" x14ac:dyDescent="0.25">
      <c r="G97" s="13"/>
      <c r="J97" s="17"/>
      <c r="K97" s="17"/>
    </row>
    <row r="98" spans="7:11" x14ac:dyDescent="0.25">
      <c r="G98" s="13"/>
      <c r="J98" s="17"/>
      <c r="K98" s="17"/>
    </row>
    <row r="99" spans="7:11" x14ac:dyDescent="0.25">
      <c r="G99" s="13"/>
      <c r="J99" s="17"/>
      <c r="K99" s="17"/>
    </row>
    <row r="100" spans="7:11" x14ac:dyDescent="0.25">
      <c r="G100" s="13"/>
      <c r="J100" s="17"/>
      <c r="K100" s="17"/>
    </row>
    <row r="101" spans="7:11" x14ac:dyDescent="0.25">
      <c r="G101" s="13"/>
      <c r="J101" s="17"/>
      <c r="K101" s="17"/>
    </row>
    <row r="102" spans="7:11" x14ac:dyDescent="0.25">
      <c r="G102" s="13"/>
      <c r="J102" s="17"/>
      <c r="K102" s="17"/>
    </row>
    <row r="103" spans="7:11" x14ac:dyDescent="0.25">
      <c r="G103" s="13"/>
      <c r="J103" s="17"/>
      <c r="K103" s="17"/>
    </row>
    <row r="104" spans="7:11" x14ac:dyDescent="0.25">
      <c r="G104" s="13"/>
      <c r="J104" s="17"/>
      <c r="K104" s="17"/>
    </row>
    <row r="105" spans="7:11" x14ac:dyDescent="0.25">
      <c r="G105" s="13"/>
      <c r="J105" s="17"/>
      <c r="K105" s="17"/>
    </row>
    <row r="106" spans="7:11" x14ac:dyDescent="0.25">
      <c r="G106" s="13"/>
      <c r="J106" s="17"/>
      <c r="K106" s="17"/>
    </row>
    <row r="107" spans="7:11" x14ac:dyDescent="0.25">
      <c r="G107" s="13"/>
      <c r="J107" s="17"/>
      <c r="K107" s="17"/>
    </row>
    <row r="108" spans="7:11" x14ac:dyDescent="0.25">
      <c r="G108" s="13"/>
      <c r="J108" s="17"/>
      <c r="K108" s="17"/>
    </row>
    <row r="109" spans="7:11" x14ac:dyDescent="0.25">
      <c r="G109" s="13"/>
      <c r="J109" s="17"/>
      <c r="K109" s="17"/>
    </row>
    <row r="110" spans="7:11" x14ac:dyDescent="0.25">
      <c r="G110" s="13"/>
      <c r="J110" s="17"/>
      <c r="K110" s="17"/>
    </row>
    <row r="111" spans="7:11" x14ac:dyDescent="0.25">
      <c r="G111" s="13"/>
      <c r="J111" s="17"/>
      <c r="K111" s="17"/>
    </row>
    <row r="112" spans="7:11" x14ac:dyDescent="0.25">
      <c r="G112" s="13"/>
      <c r="J112" s="17"/>
      <c r="K112" s="17"/>
    </row>
    <row r="113" spans="7:11" x14ac:dyDescent="0.25">
      <c r="G113" s="13"/>
      <c r="J113" s="17"/>
      <c r="K113" s="17"/>
    </row>
    <row r="114" spans="7:11" x14ac:dyDescent="0.25">
      <c r="G114" s="13"/>
      <c r="J114" s="17"/>
      <c r="K114" s="17"/>
    </row>
    <row r="115" spans="7:11" x14ac:dyDescent="0.25">
      <c r="G115" s="13"/>
      <c r="J115" s="17"/>
      <c r="K115" s="17"/>
    </row>
    <row r="116" spans="7:11" x14ac:dyDescent="0.25">
      <c r="G116" s="13"/>
      <c r="J116" s="17"/>
      <c r="K116" s="17"/>
    </row>
    <row r="117" spans="7:11" x14ac:dyDescent="0.25">
      <c r="G117" s="13"/>
      <c r="J117" s="17"/>
      <c r="K117" s="17"/>
    </row>
    <row r="118" spans="7:11" x14ac:dyDescent="0.25">
      <c r="G118" s="13"/>
      <c r="J118" s="17"/>
      <c r="K118" s="17"/>
    </row>
    <row r="119" spans="7:11" x14ac:dyDescent="0.25">
      <c r="G119" s="13"/>
      <c r="J119" s="17"/>
      <c r="K119" s="17"/>
    </row>
    <row r="120" spans="7:11" x14ac:dyDescent="0.25">
      <c r="G120" s="13"/>
      <c r="J120" s="17"/>
      <c r="K120" s="17"/>
    </row>
    <row r="121" spans="7:11" x14ac:dyDescent="0.25">
      <c r="G121" s="13"/>
      <c r="J121" s="17"/>
      <c r="K121" s="17"/>
    </row>
    <row r="122" spans="7:11" x14ac:dyDescent="0.25">
      <c r="G122" s="13"/>
      <c r="J122" s="17"/>
      <c r="K122" s="17"/>
    </row>
    <row r="123" spans="7:11" x14ac:dyDescent="0.25">
      <c r="G123" s="13"/>
      <c r="J123" s="17"/>
      <c r="K123" s="17"/>
    </row>
    <row r="124" spans="7:11" x14ac:dyDescent="0.25">
      <c r="G124" s="13"/>
      <c r="J124" s="17"/>
      <c r="K124" s="17"/>
    </row>
    <row r="125" spans="7:11" x14ac:dyDescent="0.25">
      <c r="G125" s="13"/>
      <c r="J125" s="17"/>
      <c r="K125" s="17"/>
    </row>
    <row r="126" spans="7:11" x14ac:dyDescent="0.25">
      <c r="G126" s="13"/>
      <c r="J126" s="17"/>
      <c r="K126" s="17"/>
    </row>
    <row r="127" spans="7:11" x14ac:dyDescent="0.25">
      <c r="G127" s="13"/>
      <c r="J127" s="17"/>
      <c r="K127" s="17"/>
    </row>
    <row r="128" spans="7:11" x14ac:dyDescent="0.25">
      <c r="G128" s="13"/>
      <c r="J128" s="17"/>
      <c r="K128" s="17"/>
    </row>
    <row r="129" spans="7:11" x14ac:dyDescent="0.25">
      <c r="G129" s="13"/>
      <c r="J129" s="17"/>
      <c r="K129" s="17"/>
    </row>
    <row r="130" spans="7:11" x14ac:dyDescent="0.25">
      <c r="G130" s="13"/>
      <c r="J130" s="17"/>
      <c r="K130" s="17"/>
    </row>
    <row r="131" spans="7:11" x14ac:dyDescent="0.25">
      <c r="G131" s="13"/>
      <c r="J131" s="17"/>
      <c r="K131" s="17"/>
    </row>
    <row r="132" spans="7:11" x14ac:dyDescent="0.25">
      <c r="G132" s="13"/>
      <c r="J132" s="17"/>
      <c r="K132" s="17"/>
    </row>
    <row r="133" spans="7:11" x14ac:dyDescent="0.25">
      <c r="G133" s="26"/>
      <c r="J133" s="17"/>
      <c r="K133" s="17"/>
    </row>
    <row r="134" spans="7:11" x14ac:dyDescent="0.25">
      <c r="G134" s="13"/>
      <c r="J134" s="17"/>
      <c r="K134" s="17"/>
    </row>
    <row r="135" spans="7:11" x14ac:dyDescent="0.25">
      <c r="J135" s="17"/>
      <c r="K135" s="17"/>
    </row>
    <row r="136" spans="7:11" x14ac:dyDescent="0.25">
      <c r="J136" s="17"/>
      <c r="K136" s="17"/>
    </row>
    <row r="137" spans="7:11" x14ac:dyDescent="0.25">
      <c r="J137" s="17"/>
      <c r="K137" s="17"/>
    </row>
    <row r="138" spans="7:11" x14ac:dyDescent="0.25">
      <c r="J138" s="17"/>
      <c r="K138" s="17"/>
    </row>
    <row r="139" spans="7:11" x14ac:dyDescent="0.25">
      <c r="J139" s="17"/>
      <c r="K139" s="17"/>
    </row>
    <row r="140" spans="7:11" x14ac:dyDescent="0.25">
      <c r="J140" s="17"/>
      <c r="K140" s="17"/>
    </row>
    <row r="141" spans="7:11" x14ac:dyDescent="0.25">
      <c r="J141" s="17"/>
      <c r="K141" s="17"/>
    </row>
    <row r="142" spans="7:11" x14ac:dyDescent="0.25">
      <c r="J142" s="17"/>
      <c r="K142" s="17"/>
    </row>
    <row r="143" spans="7:11" x14ac:dyDescent="0.25">
      <c r="J143" s="17"/>
      <c r="K143" s="17"/>
    </row>
    <row r="144" spans="7:11" x14ac:dyDescent="0.25">
      <c r="J144" s="17"/>
      <c r="K144" s="17"/>
    </row>
    <row r="145" spans="10:11" x14ac:dyDescent="0.25">
      <c r="J145" s="17"/>
      <c r="K145" s="17"/>
    </row>
    <row r="146" spans="10:11" x14ac:dyDescent="0.25">
      <c r="J146" s="17"/>
      <c r="K146" s="17"/>
    </row>
    <row r="147" spans="10:11" x14ac:dyDescent="0.25">
      <c r="J147" s="17"/>
      <c r="K147" s="17"/>
    </row>
    <row r="148" spans="10:11" x14ac:dyDescent="0.25">
      <c r="J148" s="17"/>
      <c r="K148" s="17"/>
    </row>
    <row r="149" spans="10:11" x14ac:dyDescent="0.25">
      <c r="J149" s="17"/>
      <c r="K149" s="17"/>
    </row>
    <row r="150" spans="10:11" x14ac:dyDescent="0.25">
      <c r="J150" s="17"/>
      <c r="K150" s="17"/>
    </row>
    <row r="151" spans="10:11" x14ac:dyDescent="0.25">
      <c r="J151" s="17"/>
      <c r="K151" s="17"/>
    </row>
    <row r="152" spans="10:11" x14ac:dyDescent="0.25">
      <c r="J152" s="17"/>
      <c r="K152" s="17"/>
    </row>
    <row r="153" spans="10:11" x14ac:dyDescent="0.25">
      <c r="J153" s="17"/>
      <c r="K153" s="17"/>
    </row>
    <row r="154" spans="10:11" x14ac:dyDescent="0.25">
      <c r="J154" s="17"/>
      <c r="K154" s="17"/>
    </row>
    <row r="155" spans="10:11" x14ac:dyDescent="0.25">
      <c r="J155" s="17"/>
      <c r="K155" s="17"/>
    </row>
    <row r="156" spans="10:11" x14ac:dyDescent="0.25">
      <c r="J156" s="17"/>
      <c r="K156" s="17"/>
    </row>
    <row r="157" spans="10:11" x14ac:dyDescent="0.25">
      <c r="J157" s="17"/>
      <c r="K157" s="17"/>
    </row>
    <row r="158" spans="10:11" x14ac:dyDescent="0.25">
      <c r="J158" s="17"/>
      <c r="K158" s="17"/>
    </row>
    <row r="159" spans="10:11" x14ac:dyDescent="0.25">
      <c r="J159" s="17"/>
      <c r="K159" s="17"/>
    </row>
    <row r="160" spans="10:11" x14ac:dyDescent="0.25">
      <c r="J160" s="17"/>
      <c r="K160" s="17"/>
    </row>
    <row r="161" spans="10:11" x14ac:dyDescent="0.25">
      <c r="J161" s="17"/>
      <c r="K161" s="17"/>
    </row>
    <row r="162" spans="10:11" x14ac:dyDescent="0.25">
      <c r="J162" s="17"/>
      <c r="K162" s="17"/>
    </row>
    <row r="163" spans="10:11" x14ac:dyDescent="0.25">
      <c r="J163" s="17"/>
      <c r="K163" s="17"/>
    </row>
    <row r="164" spans="10:11" x14ac:dyDescent="0.25">
      <c r="J164" s="17"/>
      <c r="K164" s="17"/>
    </row>
    <row r="165" spans="10:11" x14ac:dyDescent="0.25">
      <c r="J165" s="17"/>
      <c r="K165" s="17"/>
    </row>
    <row r="166" spans="10:11" x14ac:dyDescent="0.25">
      <c r="J166" s="17"/>
      <c r="K166" s="17"/>
    </row>
    <row r="167" spans="10:11" x14ac:dyDescent="0.25">
      <c r="J167" s="17"/>
      <c r="K167" s="17"/>
    </row>
    <row r="168" spans="10:11" x14ac:dyDescent="0.25">
      <c r="J168" s="17"/>
      <c r="K168" s="17"/>
    </row>
    <row r="169" spans="10:11" x14ac:dyDescent="0.25">
      <c r="J169" s="17"/>
      <c r="K169" s="17"/>
    </row>
    <row r="170" spans="10:11" x14ac:dyDescent="0.25">
      <c r="J170" s="17"/>
      <c r="K170" s="17"/>
    </row>
    <row r="171" spans="10:11" x14ac:dyDescent="0.25">
      <c r="J171" s="17"/>
      <c r="K171" s="17"/>
    </row>
    <row r="172" spans="10:11" x14ac:dyDescent="0.25">
      <c r="J172" s="17"/>
      <c r="K172" s="17"/>
    </row>
    <row r="173" spans="10:11" x14ac:dyDescent="0.25">
      <c r="J173" s="17"/>
      <c r="K173" s="17"/>
    </row>
    <row r="174" spans="10:11" x14ac:dyDescent="0.25">
      <c r="J174" s="17"/>
      <c r="K174" s="17"/>
    </row>
    <row r="175" spans="10:11" x14ac:dyDescent="0.25">
      <c r="J175" s="17"/>
      <c r="K175" s="17"/>
    </row>
    <row r="176" spans="10:11" x14ac:dyDescent="0.25">
      <c r="J176" s="17"/>
      <c r="K176" s="17"/>
    </row>
    <row r="177" spans="10:11" x14ac:dyDescent="0.25">
      <c r="J177" s="17"/>
      <c r="K177" s="17"/>
    </row>
    <row r="178" spans="10:11" x14ac:dyDescent="0.25">
      <c r="J178" s="17"/>
      <c r="K178" s="17"/>
    </row>
    <row r="179" spans="10:11" x14ac:dyDescent="0.25">
      <c r="J179" s="17"/>
      <c r="K179" s="17"/>
    </row>
    <row r="180" spans="10:11" x14ac:dyDescent="0.25">
      <c r="J180" s="17"/>
      <c r="K180" s="17"/>
    </row>
    <row r="181" spans="10:11" x14ac:dyDescent="0.25">
      <c r="J181" s="17"/>
      <c r="K181" s="17"/>
    </row>
    <row r="182" spans="10:11" x14ac:dyDescent="0.25">
      <c r="J182" s="17"/>
      <c r="K182" s="17"/>
    </row>
    <row r="183" spans="10:11" x14ac:dyDescent="0.25">
      <c r="J183" s="17"/>
      <c r="K183" s="17"/>
    </row>
    <row r="184" spans="10:11" x14ac:dyDescent="0.25">
      <c r="J184" s="17"/>
      <c r="K184" s="17"/>
    </row>
    <row r="185" spans="10:11" x14ac:dyDescent="0.25">
      <c r="J185" s="17"/>
      <c r="K185" s="17"/>
    </row>
    <row r="186" spans="10:11" x14ac:dyDescent="0.25">
      <c r="J186" s="17"/>
      <c r="K186" s="17"/>
    </row>
    <row r="187" spans="10:11" x14ac:dyDescent="0.25">
      <c r="J187" s="17"/>
      <c r="K187" s="17"/>
    </row>
    <row r="188" spans="10:11" x14ac:dyDescent="0.25">
      <c r="J188" s="17"/>
      <c r="K188" s="17"/>
    </row>
    <row r="189" spans="10:11" x14ac:dyDescent="0.25">
      <c r="J189" s="17"/>
      <c r="K189" s="17"/>
    </row>
    <row r="190" spans="10:11" x14ac:dyDescent="0.25">
      <c r="J190" s="17"/>
      <c r="K190" s="17"/>
    </row>
    <row r="191" spans="10:11" x14ac:dyDescent="0.25">
      <c r="J191" s="17"/>
      <c r="K191" s="17"/>
    </row>
    <row r="192" spans="10:11" x14ac:dyDescent="0.25">
      <c r="J192" s="17"/>
      <c r="K192" s="17"/>
    </row>
    <row r="193" spans="10:11" x14ac:dyDescent="0.25">
      <c r="J193" s="17"/>
      <c r="K193" s="17"/>
    </row>
    <row r="194" spans="10:11" x14ac:dyDescent="0.25">
      <c r="J194" s="17"/>
      <c r="K194" s="17"/>
    </row>
    <row r="195" spans="10:11" x14ac:dyDescent="0.25">
      <c r="J195" s="17"/>
      <c r="K195" s="17"/>
    </row>
    <row r="196" spans="10:11" x14ac:dyDescent="0.25">
      <c r="J196" s="17"/>
      <c r="K196" s="17"/>
    </row>
    <row r="197" spans="10:11" x14ac:dyDescent="0.25">
      <c r="J197" s="17"/>
      <c r="K197" s="17"/>
    </row>
    <row r="198" spans="10:11" x14ac:dyDescent="0.25">
      <c r="J198" s="17"/>
      <c r="K198" s="17"/>
    </row>
    <row r="199" spans="10:11" x14ac:dyDescent="0.25">
      <c r="J199" s="17"/>
      <c r="K199" s="17"/>
    </row>
    <row r="200" spans="10:11" x14ac:dyDescent="0.25">
      <c r="J200" s="17"/>
      <c r="K200" s="17"/>
    </row>
    <row r="201" spans="10:11" x14ac:dyDescent="0.25">
      <c r="J201" s="17"/>
      <c r="K201" s="17"/>
    </row>
    <row r="202" spans="10:11" x14ac:dyDescent="0.25">
      <c r="J202" s="17"/>
      <c r="K202" s="17"/>
    </row>
    <row r="203" spans="10:11" x14ac:dyDescent="0.25">
      <c r="J203" s="17"/>
      <c r="K203" s="17"/>
    </row>
    <row r="204" spans="10:11" x14ac:dyDescent="0.25">
      <c r="J204" s="17"/>
      <c r="K204" s="17"/>
    </row>
    <row r="205" spans="10:11" x14ac:dyDescent="0.25">
      <c r="J205" s="17"/>
      <c r="K205" s="17"/>
    </row>
    <row r="206" spans="10:11" x14ac:dyDescent="0.25">
      <c r="J206" s="17"/>
      <c r="K206" s="17"/>
    </row>
    <row r="207" spans="10:11" x14ac:dyDescent="0.25">
      <c r="J207" s="17"/>
      <c r="K207" s="17"/>
    </row>
    <row r="208" spans="10:11" x14ac:dyDescent="0.25">
      <c r="J208" s="17"/>
      <c r="K208" s="17"/>
    </row>
    <row r="209" spans="10:11" x14ac:dyDescent="0.25">
      <c r="J209" s="17"/>
      <c r="K209" s="17"/>
    </row>
    <row r="210" spans="10:11" x14ac:dyDescent="0.25">
      <c r="J210" s="17"/>
      <c r="K210" s="17"/>
    </row>
    <row r="211" spans="10:11" x14ac:dyDescent="0.25">
      <c r="J211" s="17"/>
      <c r="K211" s="17"/>
    </row>
    <row r="212" spans="10:11" x14ac:dyDescent="0.25">
      <c r="J212" s="17"/>
      <c r="K212" s="17"/>
    </row>
    <row r="213" spans="10:11" x14ac:dyDescent="0.25">
      <c r="J213" s="17"/>
      <c r="K213" s="17"/>
    </row>
    <row r="214" spans="10:11" x14ac:dyDescent="0.25">
      <c r="J214" s="17"/>
      <c r="K214" s="17"/>
    </row>
    <row r="215" spans="10:11" x14ac:dyDescent="0.25">
      <c r="J215" s="17"/>
      <c r="K215" s="17"/>
    </row>
    <row r="216" spans="10:11" x14ac:dyDescent="0.25">
      <c r="J216" s="17"/>
      <c r="K216" s="17"/>
    </row>
    <row r="217" spans="10:11" x14ac:dyDescent="0.25">
      <c r="J217" s="17"/>
      <c r="K217" s="17"/>
    </row>
    <row r="218" spans="10:11" x14ac:dyDescent="0.25">
      <c r="J218" s="17"/>
      <c r="K218" s="17"/>
    </row>
    <row r="219" spans="10:11" x14ac:dyDescent="0.25">
      <c r="J219" s="17"/>
      <c r="K219" s="17"/>
    </row>
    <row r="220" spans="10:11" x14ac:dyDescent="0.25">
      <c r="J220" s="17"/>
      <c r="K220" s="17"/>
    </row>
    <row r="221" spans="10:11" x14ac:dyDescent="0.25">
      <c r="J221" s="17"/>
      <c r="K221" s="17"/>
    </row>
    <row r="222" spans="10:11" x14ac:dyDescent="0.25">
      <c r="J222" s="17"/>
      <c r="K222" s="17"/>
    </row>
    <row r="223" spans="10:11" x14ac:dyDescent="0.25">
      <c r="J223" s="17"/>
      <c r="K223" s="17"/>
    </row>
    <row r="224" spans="10:11" x14ac:dyDescent="0.25">
      <c r="J224" s="17"/>
      <c r="K224" s="17"/>
    </row>
    <row r="225" spans="10:11" x14ac:dyDescent="0.25">
      <c r="J225" s="17"/>
      <c r="K225" s="17"/>
    </row>
    <row r="226" spans="10:11" x14ac:dyDescent="0.25">
      <c r="J226" s="17"/>
      <c r="K226" s="17"/>
    </row>
    <row r="227" spans="10:11" x14ac:dyDescent="0.25">
      <c r="J227" s="17"/>
      <c r="K227" s="17"/>
    </row>
    <row r="228" spans="10:11" x14ac:dyDescent="0.25">
      <c r="J228" s="17"/>
      <c r="K228" s="17"/>
    </row>
    <row r="229" spans="10:11" x14ac:dyDescent="0.25">
      <c r="J229" s="17"/>
      <c r="K229" s="17"/>
    </row>
    <row r="230" spans="10:11" x14ac:dyDescent="0.25">
      <c r="J230" s="17"/>
      <c r="K230" s="17"/>
    </row>
    <row r="231" spans="10:11" x14ac:dyDescent="0.25">
      <c r="J231" s="17"/>
      <c r="K231" s="17"/>
    </row>
    <row r="232" spans="10:11" x14ac:dyDescent="0.25">
      <c r="J232" s="17"/>
      <c r="K232" s="17"/>
    </row>
    <row r="233" spans="10:11" x14ac:dyDescent="0.25">
      <c r="J233" s="17"/>
      <c r="K233" s="17"/>
    </row>
    <row r="234" spans="10:11" x14ac:dyDescent="0.25">
      <c r="J234" s="17"/>
      <c r="K234" s="17"/>
    </row>
    <row r="235" spans="10:11" x14ac:dyDescent="0.25">
      <c r="J235" s="17"/>
      <c r="K235" s="17"/>
    </row>
    <row r="236" spans="10:11" x14ac:dyDescent="0.25">
      <c r="J236" s="17"/>
      <c r="K236" s="17"/>
    </row>
    <row r="237" spans="10:11" x14ac:dyDescent="0.25">
      <c r="J237" s="17"/>
      <c r="K237" s="17"/>
    </row>
    <row r="238" spans="10:11" x14ac:dyDescent="0.25">
      <c r="J238" s="17"/>
      <c r="K238" s="17"/>
    </row>
    <row r="239" spans="10:11" x14ac:dyDescent="0.25">
      <c r="J239" s="17"/>
      <c r="K239" s="17"/>
    </row>
    <row r="240" spans="10:11" x14ac:dyDescent="0.25">
      <c r="J240" s="17"/>
      <c r="K240" s="17"/>
    </row>
    <row r="241" spans="10:11" x14ac:dyDescent="0.25">
      <c r="J241" s="17"/>
      <c r="K241" s="17"/>
    </row>
    <row r="242" spans="10:11" x14ac:dyDescent="0.25">
      <c r="J242" s="17"/>
      <c r="K242" s="17"/>
    </row>
    <row r="243" spans="10:11" x14ac:dyDescent="0.25">
      <c r="J243" s="17"/>
      <c r="K243" s="17"/>
    </row>
    <row r="244" spans="10:11" x14ac:dyDescent="0.25">
      <c r="J244" s="17"/>
      <c r="K244" s="17"/>
    </row>
    <row r="245" spans="10:11" x14ac:dyDescent="0.25">
      <c r="J245" s="17"/>
      <c r="K245" s="17"/>
    </row>
    <row r="246" spans="10:11" x14ac:dyDescent="0.25">
      <c r="J246" s="17"/>
      <c r="K246" s="17"/>
    </row>
    <row r="247" spans="10:11" x14ac:dyDescent="0.25">
      <c r="J247" s="17"/>
      <c r="K247" s="17"/>
    </row>
    <row r="248" spans="10:11" x14ac:dyDescent="0.25">
      <c r="J248" s="17"/>
      <c r="K248" s="17"/>
    </row>
    <row r="249" spans="10:11" x14ac:dyDescent="0.25">
      <c r="J249" s="17"/>
      <c r="K249" s="17"/>
    </row>
    <row r="250" spans="10:11" x14ac:dyDescent="0.25">
      <c r="J250" s="17"/>
      <c r="K250" s="17"/>
    </row>
    <row r="251" spans="10:11" x14ac:dyDescent="0.25">
      <c r="J251" s="17"/>
      <c r="K251" s="17"/>
    </row>
    <row r="252" spans="10:11" x14ac:dyDescent="0.25">
      <c r="J252" s="17"/>
      <c r="K252" s="17"/>
    </row>
    <row r="253" spans="10:11" x14ac:dyDescent="0.25">
      <c r="J253" s="17"/>
      <c r="K253" s="17"/>
    </row>
    <row r="254" spans="10:11" x14ac:dyDescent="0.25">
      <c r="J254" s="17"/>
      <c r="K254" s="17"/>
    </row>
    <row r="255" spans="10:11" x14ac:dyDescent="0.25">
      <c r="J255" s="17"/>
      <c r="K255" s="17"/>
    </row>
    <row r="256" spans="10:11" x14ac:dyDescent="0.25">
      <c r="J256" s="17"/>
      <c r="K256" s="17"/>
    </row>
    <row r="257" spans="10:11" x14ac:dyDescent="0.25">
      <c r="J257" s="17"/>
      <c r="K257" s="17"/>
    </row>
    <row r="258" spans="10:11" x14ac:dyDescent="0.25">
      <c r="J258" s="17"/>
      <c r="K258" s="17"/>
    </row>
    <row r="259" spans="10:11" x14ac:dyDescent="0.25">
      <c r="J259" s="17"/>
      <c r="K259" s="17"/>
    </row>
    <row r="260" spans="10:11" x14ac:dyDescent="0.25">
      <c r="J260" s="17"/>
      <c r="K260" s="17"/>
    </row>
    <row r="261" spans="10:11" x14ac:dyDescent="0.25">
      <c r="J261" s="17"/>
      <c r="K261" s="17"/>
    </row>
    <row r="262" spans="10:11" x14ac:dyDescent="0.25">
      <c r="J262" s="17"/>
      <c r="K262" s="17"/>
    </row>
    <row r="263" spans="10:11" x14ac:dyDescent="0.25">
      <c r="J263" s="17"/>
      <c r="K263" s="17"/>
    </row>
    <row r="264" spans="10:11" x14ac:dyDescent="0.25">
      <c r="J264" s="17"/>
      <c r="K264" s="17"/>
    </row>
    <row r="265" spans="10:11" x14ac:dyDescent="0.25">
      <c r="J265" s="17"/>
      <c r="K265" s="17"/>
    </row>
    <row r="266" spans="10:11" x14ac:dyDescent="0.25">
      <c r="J266" s="17"/>
      <c r="K266" s="17"/>
    </row>
    <row r="267" spans="10:11" x14ac:dyDescent="0.25">
      <c r="J267" s="17"/>
      <c r="K267" s="17"/>
    </row>
    <row r="268" spans="10:11" x14ac:dyDescent="0.25">
      <c r="J268" s="17"/>
      <c r="K268" s="17"/>
    </row>
    <row r="269" spans="10:11" x14ac:dyDescent="0.25">
      <c r="J269" s="17"/>
      <c r="K269" s="17"/>
    </row>
    <row r="270" spans="10:11" x14ac:dyDescent="0.25">
      <c r="J270" s="17"/>
      <c r="K270" s="17"/>
    </row>
    <row r="271" spans="10:11" x14ac:dyDescent="0.25">
      <c r="J271" s="17"/>
      <c r="K271" s="17"/>
    </row>
    <row r="272" spans="10:11" x14ac:dyDescent="0.25">
      <c r="J272" s="17"/>
      <c r="K272" s="17"/>
    </row>
    <row r="273" spans="10:11" x14ac:dyDescent="0.25">
      <c r="J273" s="17"/>
      <c r="K273" s="17"/>
    </row>
    <row r="274" spans="10:11" x14ac:dyDescent="0.25">
      <c r="J274" s="17"/>
      <c r="K274" s="17"/>
    </row>
    <row r="275" spans="10:11" x14ac:dyDescent="0.25">
      <c r="J275" s="17"/>
      <c r="K275" s="17"/>
    </row>
    <row r="276" spans="10:11" x14ac:dyDescent="0.25">
      <c r="J276" s="17"/>
      <c r="K276" s="17"/>
    </row>
    <row r="277" spans="10:11" x14ac:dyDescent="0.25">
      <c r="J277" s="17"/>
      <c r="K277" s="17"/>
    </row>
    <row r="278" spans="10:11" x14ac:dyDescent="0.25">
      <c r="J278" s="17"/>
      <c r="K278" s="17"/>
    </row>
    <row r="279" spans="10:11" x14ac:dyDescent="0.25">
      <c r="J279" s="17"/>
      <c r="K279" s="17"/>
    </row>
    <row r="280" spans="10:11" x14ac:dyDescent="0.25">
      <c r="J280" s="17"/>
      <c r="K280" s="17"/>
    </row>
    <row r="281" spans="10:11" x14ac:dyDescent="0.25">
      <c r="J281" s="17"/>
      <c r="K281" s="17"/>
    </row>
    <row r="282" spans="10:11" x14ac:dyDescent="0.25">
      <c r="J282" s="17"/>
      <c r="K282" s="17"/>
    </row>
    <row r="283" spans="10:11" x14ac:dyDescent="0.25">
      <c r="J283" s="17"/>
      <c r="K283" s="17"/>
    </row>
    <row r="284" spans="10:11" x14ac:dyDescent="0.25">
      <c r="J284" s="17"/>
      <c r="K284" s="17"/>
    </row>
    <row r="285" spans="10:11" x14ac:dyDescent="0.25">
      <c r="J285" s="17"/>
      <c r="K285" s="17"/>
    </row>
    <row r="286" spans="10:11" x14ac:dyDescent="0.25">
      <c r="J286" s="17"/>
      <c r="K286" s="17"/>
    </row>
    <row r="287" spans="10:11" x14ac:dyDescent="0.25">
      <c r="J287" s="17"/>
      <c r="K287" s="17"/>
    </row>
    <row r="288" spans="10:11" x14ac:dyDescent="0.25">
      <c r="J288" s="17"/>
      <c r="K288" s="17"/>
    </row>
    <row r="289" spans="10:11" x14ac:dyDescent="0.25">
      <c r="J289" s="17"/>
      <c r="K289" s="17"/>
    </row>
    <row r="290" spans="10:11" x14ac:dyDescent="0.25">
      <c r="J290" s="17"/>
      <c r="K290" s="17"/>
    </row>
  </sheetData>
  <pageMargins left="0.7" right="0.7" top="0.75" bottom="0.75" header="0.3" footer="0.3"/>
  <pageSetup paperSize="9" orientation="portrait" horizontalDpi="1200" verticalDpi="1200" r:id="rId1"/>
  <tableParts count="26">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DBD22-D590-48FC-A192-52A2C2A8341F}">
  <dimension ref="A1:BT30"/>
  <sheetViews>
    <sheetView zoomScaleNormal="100" workbookViewId="0">
      <pane ySplit="4" topLeftCell="A5" activePane="bottomLeft" state="frozen"/>
      <selection pane="bottomLeft"/>
    </sheetView>
  </sheetViews>
  <sheetFormatPr defaultRowHeight="15" x14ac:dyDescent="0.25"/>
  <cols>
    <col min="1" max="1" width="9.5703125" style="17" bestFit="1" customWidth="1"/>
    <col min="2" max="2" width="4.140625" style="16" bestFit="1" customWidth="1"/>
    <col min="3" max="3" width="3.7109375" style="17" bestFit="1" customWidth="1"/>
    <col min="4" max="4" width="5.7109375" style="17" bestFit="1" customWidth="1"/>
    <col min="5" max="6" width="5.140625" style="17" bestFit="1" customWidth="1"/>
    <col min="7" max="7" width="7.85546875" style="17" bestFit="1" customWidth="1"/>
    <col min="8" max="8" width="9.140625" style="17" customWidth="1"/>
    <col min="9" max="9" width="27.7109375" style="17" bestFit="1" customWidth="1"/>
    <col min="10" max="10" width="4.140625" style="17" bestFit="1" customWidth="1"/>
    <col min="11" max="11" width="3" style="17" bestFit="1" customWidth="1"/>
    <col min="12" max="16" width="3.85546875" style="17" bestFit="1" customWidth="1"/>
    <col min="17" max="17" width="2.5703125" style="17" customWidth="1"/>
    <col min="18" max="19" width="3.85546875" style="17" bestFit="1" customWidth="1"/>
    <col min="20" max="20" width="2.5703125" style="17" customWidth="1"/>
    <col min="21" max="22" width="3.85546875" style="17" bestFit="1" customWidth="1"/>
    <col min="23" max="23" width="2.5703125" style="17" bestFit="1" customWidth="1"/>
    <col min="24" max="24" width="9.140625" style="17"/>
    <col min="25" max="25" width="3.7109375" style="17" bestFit="1" customWidth="1"/>
    <col min="26" max="26" width="6" style="17" customWidth="1"/>
    <col min="27" max="27" width="4.85546875" style="17" bestFit="1" customWidth="1"/>
    <col min="28" max="28" width="7.7109375" style="17" bestFit="1" customWidth="1"/>
    <col min="29" max="29" width="7.85546875" style="17" customWidth="1"/>
    <col min="30" max="30" width="9.140625" style="17"/>
    <col min="31" max="31" width="3.7109375" style="17" bestFit="1" customWidth="1"/>
    <col min="32" max="32" width="6" style="17" customWidth="1"/>
    <col min="33" max="33" width="4.85546875" style="17" bestFit="1" customWidth="1"/>
    <col min="34" max="34" width="7.7109375" style="17" bestFit="1" customWidth="1"/>
    <col min="35" max="35" width="7.85546875" style="17" customWidth="1"/>
    <col min="36" max="36" width="9.140625" style="17"/>
    <col min="37" max="37" width="3.7109375" style="17" bestFit="1" customWidth="1"/>
    <col min="38" max="38" width="6" style="17" bestFit="1" customWidth="1"/>
    <col min="39" max="39" width="4.85546875" style="17" bestFit="1" customWidth="1"/>
    <col min="40" max="40" width="7.7109375" style="17" bestFit="1" customWidth="1"/>
    <col min="41" max="41" width="7.85546875" style="17" bestFit="1" customWidth="1"/>
    <col min="42" max="42" width="9.140625" style="17"/>
    <col min="43" max="43" width="3.7109375" style="17" bestFit="1" customWidth="1"/>
    <col min="44" max="44" width="6" style="17" bestFit="1" customWidth="1"/>
    <col min="45" max="45" width="4.85546875" style="17" bestFit="1" customWidth="1"/>
    <col min="46" max="46" width="7.7109375" style="17" bestFit="1" customWidth="1"/>
    <col min="47" max="47" width="7.85546875" style="17" bestFit="1" customWidth="1"/>
    <col min="48" max="48" width="9.140625" style="17"/>
    <col min="49" max="49" width="3.7109375" style="17" bestFit="1" customWidth="1"/>
    <col min="50" max="50" width="6" style="17" bestFit="1" customWidth="1"/>
    <col min="51" max="52" width="4.85546875" style="17" bestFit="1" customWidth="1"/>
    <col min="53" max="53" width="7.7109375" style="17" bestFit="1" customWidth="1"/>
    <col min="54" max="54" width="7.85546875" style="17" bestFit="1" customWidth="1"/>
    <col min="55" max="55" width="9.140625" style="17"/>
    <col min="56" max="56" width="3.7109375" style="17" bestFit="1" customWidth="1"/>
    <col min="57" max="57" width="6" style="17" bestFit="1" customWidth="1"/>
    <col min="58" max="58" width="4.85546875" style="17" bestFit="1" customWidth="1"/>
    <col min="59" max="59" width="7.7109375" style="17" bestFit="1" customWidth="1"/>
    <col min="60" max="60" width="7.85546875" style="17" bestFit="1" customWidth="1"/>
    <col min="61" max="61" width="9.140625" style="17"/>
    <col min="62" max="62" width="3.7109375" style="17" bestFit="1" customWidth="1"/>
    <col min="63" max="63" width="6" style="17" bestFit="1" customWidth="1"/>
    <col min="64" max="64" width="4.85546875" style="17" bestFit="1" customWidth="1"/>
    <col min="65" max="65" width="7.7109375" style="17" bestFit="1" customWidth="1"/>
    <col min="66" max="66" width="7.85546875" style="17" customWidth="1"/>
    <col min="67" max="67" width="9.140625" style="17"/>
    <col min="68" max="68" width="3.7109375" style="17" bestFit="1" customWidth="1"/>
    <col min="69" max="69" width="6" style="17" bestFit="1" customWidth="1"/>
    <col min="70" max="70" width="4.85546875" style="17" bestFit="1" customWidth="1"/>
    <col min="71" max="71" width="7.7109375" style="17" bestFit="1" customWidth="1"/>
    <col min="72" max="72" width="7.85546875" style="17" customWidth="1"/>
    <col min="73" max="16384" width="9.140625" style="17"/>
  </cols>
  <sheetData>
    <row r="1" spans="1:72" ht="18.75" x14ac:dyDescent="0.3">
      <c r="A1" s="202" t="s">
        <v>2</v>
      </c>
      <c r="B1" s="203">
        <v>5</v>
      </c>
    </row>
    <row r="2" spans="1:72" ht="18.75" x14ac:dyDescent="0.3">
      <c r="A2" s="202" t="s">
        <v>4</v>
      </c>
      <c r="B2" s="203">
        <v>2</v>
      </c>
    </row>
    <row r="3" spans="1:72" ht="18.75" x14ac:dyDescent="0.3">
      <c r="A3" s="202" t="s">
        <v>0</v>
      </c>
      <c r="B3" s="203">
        <f>(B1^B2 - 1)/2</f>
        <v>12</v>
      </c>
    </row>
    <row r="4" spans="1:72" ht="51.75" thickBot="1" x14ac:dyDescent="0.3">
      <c r="A4" s="119" t="s">
        <v>25</v>
      </c>
      <c r="B4" s="119" t="s">
        <v>26</v>
      </c>
      <c r="C4" s="120" t="s">
        <v>28</v>
      </c>
      <c r="D4" s="208" t="s">
        <v>27</v>
      </c>
      <c r="E4" s="121" t="s">
        <v>8</v>
      </c>
      <c r="F4" s="121" t="s">
        <v>7</v>
      </c>
      <c r="Y4" s="120" t="s">
        <v>28</v>
      </c>
      <c r="Z4" s="351" t="s">
        <v>26</v>
      </c>
      <c r="AA4" s="323" t="s">
        <v>539</v>
      </c>
      <c r="AB4" s="324" t="s">
        <v>537</v>
      </c>
      <c r="AE4" s="120" t="s">
        <v>28</v>
      </c>
      <c r="AF4" s="322" t="s">
        <v>26</v>
      </c>
      <c r="AG4" s="323" t="s">
        <v>539</v>
      </c>
      <c r="AH4" s="324" t="s">
        <v>537</v>
      </c>
      <c r="AK4" s="120" t="s">
        <v>28</v>
      </c>
      <c r="AL4" s="120" t="s">
        <v>26</v>
      </c>
      <c r="AM4" s="254" t="s">
        <v>539</v>
      </c>
      <c r="AN4" s="120" t="s">
        <v>537</v>
      </c>
      <c r="AQ4" s="120" t="s">
        <v>28</v>
      </c>
      <c r="AR4" s="120" t="s">
        <v>26</v>
      </c>
      <c r="AS4" s="254" t="s">
        <v>539</v>
      </c>
      <c r="AT4" s="120" t="s">
        <v>537</v>
      </c>
      <c r="AW4" s="120" t="s">
        <v>28</v>
      </c>
      <c r="AX4" s="120" t="s">
        <v>26</v>
      </c>
      <c r="AY4" s="254" t="s">
        <v>538</v>
      </c>
      <c r="AZ4" s="254" t="s">
        <v>539</v>
      </c>
      <c r="BA4" s="120" t="s">
        <v>537</v>
      </c>
      <c r="BD4" s="120" t="s">
        <v>28</v>
      </c>
      <c r="BE4" s="120" t="s">
        <v>26</v>
      </c>
      <c r="BF4" s="254" t="s">
        <v>539</v>
      </c>
      <c r="BG4" s="120" t="s">
        <v>537</v>
      </c>
      <c r="BJ4" s="120" t="s">
        <v>28</v>
      </c>
      <c r="BK4" s="120" t="s">
        <v>26</v>
      </c>
      <c r="BL4" s="254" t="s">
        <v>539</v>
      </c>
      <c r="BM4" s="120" t="s">
        <v>537</v>
      </c>
      <c r="BP4" s="120" t="s">
        <v>28</v>
      </c>
      <c r="BQ4" s="120" t="s">
        <v>26</v>
      </c>
      <c r="BR4" s="254" t="s">
        <v>539</v>
      </c>
      <c r="BS4" s="120" t="s">
        <v>537</v>
      </c>
    </row>
    <row r="5" spans="1:72" ht="16.5" thickTop="1" thickBot="1" x14ac:dyDescent="0.3">
      <c r="A5" s="9">
        <v>0</v>
      </c>
      <c r="B5" s="9">
        <f>ROUNDUP(t_B5n2_Fixed[[#This Row],[Row]]-$B$3,0)</f>
        <v>-12</v>
      </c>
      <c r="C5" s="11"/>
      <c r="D5" s="9">
        <v>0</v>
      </c>
      <c r="E5" s="168">
        <f>MOD(INT(t_B5n2[[#This Row],[x]]/$B$1^INT(RIGHT(t_B5n2[[#Headers],[b1]],1))),$B$1)</f>
        <v>0</v>
      </c>
      <c r="F5" s="168">
        <f>MOD(INT(t_B5n2[[#This Row],[x]]/$B$1^INT(RIGHT(t_B5n2[[#Headers],[b0]],1))),$B$1)</f>
        <v>0</v>
      </c>
      <c r="Y5" s="139"/>
      <c r="Z5" s="314">
        <f>INDEX(t_B5n2_Fixed[Offset],MATCH($A$5,t_B5n2[x],0),1)</f>
        <v>-12</v>
      </c>
      <c r="AA5" s="314">
        <v>0</v>
      </c>
      <c r="AB5" s="342" t="s">
        <v>30</v>
      </c>
      <c r="AC5" s="27" t="s">
        <v>0</v>
      </c>
      <c r="AE5" s="139"/>
      <c r="AF5" s="320">
        <f>INDEX(t_B5n2_Fixed[Offset],MATCH($A$11,t_B5n2[x],0),1)</f>
        <v>-6</v>
      </c>
      <c r="AG5" s="314">
        <v>6</v>
      </c>
      <c r="AH5" s="238" t="s">
        <v>293</v>
      </c>
      <c r="AI5" s="27" t="s">
        <v>0</v>
      </c>
      <c r="AK5" s="139"/>
      <c r="AL5" s="139">
        <f>INDEX(t_B5n2_Fixed[Offset],MATCH($A$6,t_B5n2[x],0),1)</f>
        <v>-11</v>
      </c>
      <c r="AM5" s="139">
        <v>1</v>
      </c>
      <c r="AN5" s="255" t="s">
        <v>289</v>
      </c>
      <c r="AQ5" s="139"/>
      <c r="AR5" s="139">
        <f>INDEX(t_B5n2_Fixed[Offset],MATCH($A$7,t_B5n2[x],0),1)</f>
        <v>-10</v>
      </c>
      <c r="AS5" s="139">
        <v>2</v>
      </c>
      <c r="AT5" s="274" t="s">
        <v>290</v>
      </c>
      <c r="AW5" s="139"/>
      <c r="AX5" s="139">
        <f>INDEX(t_B5n2_Fixed[Offset],MATCH($A$8,t_B5n2[x],0),1)</f>
        <v>-9</v>
      </c>
      <c r="AY5" s="139">
        <v>0</v>
      </c>
      <c r="AZ5" s="139">
        <v>3</v>
      </c>
      <c r="BA5" s="276" t="s">
        <v>367</v>
      </c>
      <c r="BD5" s="139"/>
      <c r="BE5" s="139">
        <f>INDEX(t_B5n2_Fixed[Offset],MATCH($A$12,t_B5n2[x],0),1)</f>
        <v>-5</v>
      </c>
      <c r="BF5" s="139">
        <v>7</v>
      </c>
      <c r="BG5" s="288" t="s">
        <v>369</v>
      </c>
      <c r="BJ5" s="139"/>
      <c r="BK5" s="6">
        <f>INDEX(t_B5n2_Fixed[Offset],MATCH($A$9,t_B5n2[x],0),1)</f>
        <v>-8</v>
      </c>
      <c r="BL5" s="6">
        <v>4</v>
      </c>
      <c r="BM5" s="303" t="s">
        <v>368</v>
      </c>
      <c r="BN5" s="27" t="s">
        <v>0</v>
      </c>
      <c r="BP5" s="139"/>
      <c r="BQ5" s="6">
        <f>INDEX(t_B5n2_Fixed[Offset],MATCH($A$13,t_B5n2[x],0),1)</f>
        <v>-4</v>
      </c>
      <c r="BR5" s="6">
        <v>8</v>
      </c>
      <c r="BS5" s="310" t="s">
        <v>370</v>
      </c>
      <c r="BT5" s="27" t="s">
        <v>0</v>
      </c>
    </row>
    <row r="6" spans="1:72" ht="15.75" thickBot="1" x14ac:dyDescent="0.3">
      <c r="A6" s="9">
        <v>1</v>
      </c>
      <c r="B6" s="9">
        <f>ROUNDUP(t_B5n2_Fixed[[#This Row],[Row]]-$B$3,0)</f>
        <v>-11</v>
      </c>
      <c r="C6" s="11">
        <f>t_B5n2[[#This Row],[x]]-D5</f>
        <v>1</v>
      </c>
      <c r="D6" s="9">
        <v>1</v>
      </c>
      <c r="E6" s="42">
        <f>MOD(INT(t_B5n2[[#This Row],[x]]/$B$1^INT(RIGHT(t_B5n2[[#Headers],[b1]],1))),$B$1)</f>
        <v>0</v>
      </c>
      <c r="F6" s="43">
        <f>MOD(INT(t_B5n2[[#This Row],[x]]/$B$1^INT(RIGHT(t_B5n2[[#Headers],[b0]],1))),$B$1)</f>
        <v>1</v>
      </c>
      <c r="I6" s="34" t="s">
        <v>21</v>
      </c>
      <c r="J6" s="35" t="s">
        <v>5</v>
      </c>
      <c r="Y6" s="139">
        <f>t_B5n2_AB1[[#This Row],[Offset]]-Z5</f>
        <v>24</v>
      </c>
      <c r="Z6" s="317">
        <f>INDEX(t_B5n2_Fixed[Offset],MATCH($A$29,t_B5n2[x],0),1)</f>
        <v>12</v>
      </c>
      <c r="AA6" s="317">
        <v>24</v>
      </c>
      <c r="AB6" s="344" t="s">
        <v>384</v>
      </c>
      <c r="AE6" s="139">
        <f>t_B5n2_AB2[[#This Row],[Offset]]-AF5</f>
        <v>12</v>
      </c>
      <c r="AF6" s="325">
        <f>INDEX(t_B5n2_Fixed[Offset],MATCH($A$23,t_B5n2[x],0),1)</f>
        <v>6</v>
      </c>
      <c r="AG6" s="317">
        <v>18</v>
      </c>
      <c r="AH6" s="354" t="s">
        <v>378</v>
      </c>
      <c r="AK6" s="139">
        <f>t_B5n2_AB3[[#This Row],[Offset]]-AL5</f>
        <v>4</v>
      </c>
      <c r="AL6" s="6">
        <f>INDEX(t_B5n2_Fixed[Offset],MATCH($A$10,t_B5n2[x],0),1)</f>
        <v>-7</v>
      </c>
      <c r="AM6" s="6">
        <v>5</v>
      </c>
      <c r="AN6" s="295" t="s">
        <v>292</v>
      </c>
      <c r="AO6" s="25" t="s">
        <v>0</v>
      </c>
      <c r="AQ6" s="139">
        <f>t_B5n2_AB4[[#This Row],[Offset]]-AR5</f>
        <v>8</v>
      </c>
      <c r="AR6" s="6">
        <f>INDEX(t_B5n2_Fixed[Offset],MATCH($A$15,t_B5n2[x],0),1)</f>
        <v>-2</v>
      </c>
      <c r="AS6" s="6">
        <v>10</v>
      </c>
      <c r="AT6" s="302" t="s">
        <v>296</v>
      </c>
      <c r="AU6" s="25" t="s">
        <v>0</v>
      </c>
      <c r="AW6" s="139">
        <f>t_B5n2_AB5[[#This Row],[Offset]]-AX5</f>
        <v>6</v>
      </c>
      <c r="AX6" s="6">
        <f>INDEX(t_B5n2_Fixed[Offset],MATCH($A$14,t_B5n2[x],0),1)</f>
        <v>-3</v>
      </c>
      <c r="AY6" s="6">
        <v>2</v>
      </c>
      <c r="AZ6" s="6">
        <v>9</v>
      </c>
      <c r="BA6" s="372" t="s">
        <v>371</v>
      </c>
      <c r="BB6" s="25" t="s">
        <v>0</v>
      </c>
      <c r="BD6" s="139">
        <f>t_B5n2_AB6[[#This Row],[Offset]]-BE5</f>
        <v>4</v>
      </c>
      <c r="BE6" s="6">
        <f>INDEX(t_B5n2_Fixed[Offset],MATCH($A$16,t_B5n2[x],0),1)</f>
        <v>-1</v>
      </c>
      <c r="BF6" s="6">
        <v>11</v>
      </c>
      <c r="BG6" s="309" t="s">
        <v>372</v>
      </c>
      <c r="BH6" s="25" t="s">
        <v>0</v>
      </c>
      <c r="BJ6" s="139">
        <f>t_B5n2_S1[[#This Row],[Offset]]-BK5</f>
        <v>16</v>
      </c>
      <c r="BK6" s="139">
        <f>INDEX(t_B5n2_Fixed[Offset],MATCH($A$25,t_B5n2[x],0),1)</f>
        <v>8</v>
      </c>
      <c r="BL6" s="139">
        <v>20</v>
      </c>
      <c r="BM6" s="277" t="s">
        <v>380</v>
      </c>
      <c r="BP6" s="139">
        <f>t_B5n2_S2[[#This Row],[Offset]]-BQ5</f>
        <v>8</v>
      </c>
      <c r="BQ6" s="139">
        <f>INDEX(t_B5n2_Fixed[Offset],MATCH($A$21,t_B5n2[x],0),1)</f>
        <v>4</v>
      </c>
      <c r="BR6" s="139">
        <v>16</v>
      </c>
      <c r="BS6" s="266" t="s">
        <v>376</v>
      </c>
    </row>
    <row r="7" spans="1:72" x14ac:dyDescent="0.25">
      <c r="A7" s="9">
        <v>2</v>
      </c>
      <c r="B7" s="9">
        <f>ROUNDUP(t_B5n2_Fixed[[#This Row],[Row]]-$B$3,0)</f>
        <v>-10</v>
      </c>
      <c r="C7" s="11">
        <f>t_B5n2[[#This Row],[x]]-D6</f>
        <v>1</v>
      </c>
      <c r="D7" s="9">
        <v>2</v>
      </c>
      <c r="E7" s="44">
        <f>MOD(INT(t_B5n2[[#This Row],[x]]/$B$1^INT(RIGHT(t_B5n2[[#Headers],[b1]],1))),$B$1)</f>
        <v>0</v>
      </c>
      <c r="F7" s="45">
        <f>MOD(INT(t_B5n2[[#This Row],[x]]/$B$1^INT(RIGHT(t_B5n2[[#Headers],[b0]],1))),$B$1)</f>
        <v>2</v>
      </c>
      <c r="I7" s="32" t="s">
        <v>13</v>
      </c>
      <c r="J7" s="33">
        <v>2</v>
      </c>
      <c r="L7" s="89" t="s">
        <v>33</v>
      </c>
      <c r="M7" s="107" t="s">
        <v>34</v>
      </c>
      <c r="N7" s="225"/>
      <c r="O7" s="94" t="s">
        <v>36</v>
      </c>
      <c r="P7" s="99" t="s">
        <v>37</v>
      </c>
      <c r="Q7" s="225"/>
      <c r="R7" s="225"/>
      <c r="S7" s="225"/>
      <c r="T7" s="225"/>
      <c r="U7" s="225"/>
      <c r="V7" s="225"/>
      <c r="AK7" s="139">
        <f>t_B5n2_AB3[[#This Row],[Offset]]-AL6</f>
        <v>14</v>
      </c>
      <c r="AL7" s="139">
        <f>INDEX(t_B5n2_Fixed[Offset],MATCH($A$24,t_B5n2[x],0),1)</f>
        <v>7</v>
      </c>
      <c r="AM7" s="139">
        <v>19</v>
      </c>
      <c r="AN7" s="273" t="s">
        <v>379</v>
      </c>
      <c r="AQ7" s="139">
        <f>t_B5n2_AB4[[#This Row],[Offset]]-AR6</f>
        <v>4</v>
      </c>
      <c r="AR7" s="139">
        <f>INDEX(t_B5n2_Fixed[Offset],MATCH($A$19,t_B5n2[x],0),1)</f>
        <v>2</v>
      </c>
      <c r="AS7" s="139">
        <v>14</v>
      </c>
      <c r="AT7" s="275" t="s">
        <v>374</v>
      </c>
      <c r="AW7" s="139">
        <f>t_B5n2_AB5[[#This Row],[Offset]]-AX6</f>
        <v>6</v>
      </c>
      <c r="AX7" s="139">
        <f>INDEX(t_B5n2_Fixed[Offset],MATCH($A$20,t_B5n2[x],0),1)</f>
        <v>3</v>
      </c>
      <c r="AY7" s="139">
        <v>1</v>
      </c>
      <c r="AZ7" s="139">
        <v>15</v>
      </c>
      <c r="BA7" s="276" t="s">
        <v>375</v>
      </c>
      <c r="BD7" s="139">
        <f>t_B5n2_AB6[[#This Row],[Offset]]-BE6</f>
        <v>2</v>
      </c>
      <c r="BE7" s="139">
        <f>INDEX(t_B5n2_Fixed[Offset],MATCH($A$18,t_B5n2[x],0),1)</f>
        <v>1</v>
      </c>
      <c r="BF7" s="139">
        <v>13</v>
      </c>
      <c r="BG7" s="265" t="s">
        <v>373</v>
      </c>
    </row>
    <row r="8" spans="1:72" x14ac:dyDescent="0.25">
      <c r="A8" s="9">
        <v>3</v>
      </c>
      <c r="B8" s="9">
        <f>ROUNDUP(t_B5n2_Fixed[[#This Row],[Row]]-$B$3,0)</f>
        <v>-9</v>
      </c>
      <c r="C8" s="11">
        <f>t_B5n2[[#This Row],[x]]-D7</f>
        <v>1</v>
      </c>
      <c r="D8" s="9">
        <v>3</v>
      </c>
      <c r="E8" s="175">
        <f>MOD(INT(t_B5n2[[#This Row],[x]]/$B$1^INT(RIGHT(t_B5n2[[#Headers],[b1]],1))),$B$1)</f>
        <v>0</v>
      </c>
      <c r="F8" s="167">
        <f>MOD(INT(t_B5n2[[#This Row],[x]]/$B$1^INT(RIGHT(t_B5n2[[#Headers],[b0]],1))),$B$1)</f>
        <v>3</v>
      </c>
      <c r="I8" s="30" t="s">
        <v>20</v>
      </c>
      <c r="J8" s="31">
        <v>4</v>
      </c>
      <c r="L8" s="90" t="s">
        <v>39</v>
      </c>
      <c r="M8" s="96" t="s">
        <v>40</v>
      </c>
      <c r="N8" s="225"/>
      <c r="O8" s="91" t="s">
        <v>41</v>
      </c>
      <c r="P8" s="97" t="s">
        <v>42</v>
      </c>
      <c r="Q8" s="225"/>
      <c r="R8" s="92" t="s">
        <v>43</v>
      </c>
      <c r="S8" s="98" t="s">
        <v>44</v>
      </c>
      <c r="T8" s="225"/>
      <c r="U8" s="95" t="s">
        <v>45</v>
      </c>
      <c r="V8" s="100" t="s">
        <v>46</v>
      </c>
      <c r="AK8" s="139">
        <f>t_B5n2_AB3[[#This Row],[Offset]]-AL7</f>
        <v>4</v>
      </c>
      <c r="AL8" s="139">
        <f>INDEX(t_B5n2_Fixed[Offset],MATCH($A$28,t_B5n2[x],0),1)</f>
        <v>11</v>
      </c>
      <c r="AM8" s="139">
        <v>23</v>
      </c>
      <c r="AN8" s="273" t="s">
        <v>383</v>
      </c>
      <c r="AQ8" s="139">
        <f>t_B5n2_AB4[[#This Row],[Offset]]-AR7</f>
        <v>8</v>
      </c>
      <c r="AR8" s="139">
        <f>INDEX(t_B5n2_Fixed[Offset],MATCH($A$27,t_B5n2[x],0),1)</f>
        <v>10</v>
      </c>
      <c r="AS8" s="139">
        <v>22</v>
      </c>
      <c r="AT8" s="275" t="s">
        <v>382</v>
      </c>
      <c r="AW8" s="139">
        <f>t_B5n2_AB5[[#This Row],[Offset]]-AX7</f>
        <v>6</v>
      </c>
      <c r="AX8" s="139">
        <f>INDEX(t_B5n2_Fixed[Offset],MATCH($A$26,t_B5n2[x],0),1)</f>
        <v>9</v>
      </c>
      <c r="AY8" s="139">
        <v>3</v>
      </c>
      <c r="AZ8" s="139">
        <v>21</v>
      </c>
      <c r="BA8" s="287" t="s">
        <v>381</v>
      </c>
      <c r="BD8" s="139">
        <f>t_B5n2_AB6[[#This Row],[Offset]]-BE7</f>
        <v>4</v>
      </c>
      <c r="BE8" s="139">
        <f>INDEX(t_B5n2_Fixed[Offset],MATCH($A$22,t_B5n2[x],0),1)</f>
        <v>5</v>
      </c>
      <c r="BF8" s="139">
        <v>17</v>
      </c>
      <c r="BG8" s="265" t="s">
        <v>377</v>
      </c>
    </row>
    <row r="9" spans="1:72" ht="15.75" thickBot="1" x14ac:dyDescent="0.3">
      <c r="A9" s="9">
        <v>4</v>
      </c>
      <c r="B9" s="9">
        <f>ROUNDUP(t_B5n2_Fixed[[#This Row],[Row]]-$B$3,0)</f>
        <v>-8</v>
      </c>
      <c r="C9" s="11">
        <f>t_B5n2[[#This Row],[x]]-D8</f>
        <v>1</v>
      </c>
      <c r="D9" s="9">
        <v>4</v>
      </c>
      <c r="E9" s="176">
        <f>MOD(INT(t_B5n2[[#This Row],[x]]/$B$1^INT(RIGHT(t_B5n2[[#Headers],[b1]],1))),$B$1)</f>
        <v>0</v>
      </c>
      <c r="F9" s="177">
        <f>MOD(INT(t_B5n2[[#This Row],[x]]/$B$1^INT(RIGHT(t_B5n2[[#Headers],[b0]],1))),$B$1)</f>
        <v>4</v>
      </c>
      <c r="I9" s="36" t="s">
        <v>23</v>
      </c>
      <c r="J9" s="37">
        <v>2</v>
      </c>
      <c r="L9" s="93" t="s">
        <v>35</v>
      </c>
      <c r="M9" s="225"/>
      <c r="N9" s="102" t="s">
        <v>38</v>
      </c>
      <c r="O9" s="225"/>
      <c r="P9" s="225"/>
      <c r="Q9" s="225"/>
      <c r="R9" s="225"/>
      <c r="S9" s="225"/>
      <c r="T9" s="225"/>
      <c r="U9" s="225"/>
      <c r="V9" s="225"/>
    </row>
    <row r="10" spans="1:72" x14ac:dyDescent="0.25">
      <c r="A10" s="9">
        <v>5</v>
      </c>
      <c r="B10" s="9">
        <f>ROUNDUP(t_B5n2_Fixed[[#This Row],[Row]]-$B$3,0)</f>
        <v>-7</v>
      </c>
      <c r="C10" s="11">
        <f>t_B5n2[[#This Row],[x]]-D9</f>
        <v>1</v>
      </c>
      <c r="D10" s="9">
        <v>5</v>
      </c>
      <c r="E10" s="42">
        <f>MOD(INT(t_B5n2[[#This Row],[x]]/$B$1^INT(RIGHT(t_B5n2[[#Headers],[b1]],1))),$B$1)</f>
        <v>1</v>
      </c>
      <c r="F10" s="43">
        <f>MOD(INT(t_B5n2[[#This Row],[x]]/$B$1^INT(RIGHT(t_B5n2[[#Headers],[b0]],1))),$B$1)</f>
        <v>0</v>
      </c>
      <c r="I10" s="113" t="s">
        <v>15</v>
      </c>
      <c r="J10" s="114">
        <f>SUM(J7:J9)</f>
        <v>8</v>
      </c>
    </row>
    <row r="11" spans="1:72" ht="15.75" thickBot="1" x14ac:dyDescent="0.3">
      <c r="A11" s="9">
        <v>6</v>
      </c>
      <c r="B11" s="9">
        <f>ROUNDUP(t_B5n2_Fixed[[#This Row],[Row]]-$B$3,0)</f>
        <v>-6</v>
      </c>
      <c r="C11" s="11">
        <f>t_B5n2[[#This Row],[x]]-D10</f>
        <v>1</v>
      </c>
      <c r="D11" s="9">
        <v>6</v>
      </c>
      <c r="E11" s="50">
        <f>MOD(INT(t_B5n2[[#This Row],[x]]/$B$1^INT(RIGHT(t_B5n2[[#Headers],[b1]],1))),$B$1)</f>
        <v>1</v>
      </c>
      <c r="F11" s="51">
        <f>MOD(INT(t_B5n2[[#This Row],[x]]/$B$1^INT(RIGHT(t_B5n2[[#Headers],[b0]],1))),$B$1)</f>
        <v>1</v>
      </c>
      <c r="I11" s="115" t="s">
        <v>16</v>
      </c>
      <c r="J11" s="116">
        <v>14</v>
      </c>
    </row>
    <row r="12" spans="1:72" x14ac:dyDescent="0.25">
      <c r="A12" s="9">
        <v>7</v>
      </c>
      <c r="B12" s="9">
        <f>ROUNDUP(t_B5n2_Fixed[[#This Row],[Row]]-$B$3,0)</f>
        <v>-5</v>
      </c>
      <c r="C12" s="11">
        <f>t_B5n2[[#This Row],[x]]-D11</f>
        <v>1</v>
      </c>
      <c r="D12" s="9">
        <v>7</v>
      </c>
      <c r="E12" s="190">
        <f>MOD(INT(t_B5n2[[#This Row],[x]]/$B$1^INT(RIGHT(t_B5n2[[#Headers],[b1]],1))),$B$1)</f>
        <v>1</v>
      </c>
      <c r="F12" s="191">
        <f>MOD(INT(t_B5n2[[#This Row],[x]]/$B$1^INT(RIGHT(t_B5n2[[#Headers],[b0]],1))),$B$1)</f>
        <v>2</v>
      </c>
    </row>
    <row r="13" spans="1:72" x14ac:dyDescent="0.25">
      <c r="A13" s="9">
        <v>8</v>
      </c>
      <c r="B13" s="9">
        <f>ROUNDUP(t_B5n2_Fixed[[#This Row],[Row]]-$B$3,0)</f>
        <v>-4</v>
      </c>
      <c r="C13" s="11">
        <f>t_B5n2[[#This Row],[x]]-D12</f>
        <v>1</v>
      </c>
      <c r="D13" s="9">
        <v>8</v>
      </c>
      <c r="E13" s="40">
        <f>MOD(INT(t_B5n2[[#This Row],[x]]/$B$1^INT(RIGHT(t_B5n2[[#Headers],[b1]],1))),$B$1)</f>
        <v>1</v>
      </c>
      <c r="F13" s="41">
        <f>MOD(INT(t_B5n2[[#This Row],[x]]/$B$1^INT(RIGHT(t_B5n2[[#Headers],[b0]],1))),$B$1)</f>
        <v>3</v>
      </c>
    </row>
    <row r="14" spans="1:72" x14ac:dyDescent="0.25">
      <c r="A14" s="9">
        <v>9</v>
      </c>
      <c r="B14" s="9">
        <f>ROUNDUP(t_B5n2_Fixed[[#This Row],[Row]]-$B$3,0)</f>
        <v>-3</v>
      </c>
      <c r="C14" s="11">
        <f>t_B5n2[[#This Row],[x]]-D13</f>
        <v>1</v>
      </c>
      <c r="D14" s="9">
        <v>9</v>
      </c>
      <c r="E14" s="228">
        <f>MOD(INT(t_B5n2[[#This Row],[x]]/$B$1^INT(RIGHT(t_B5n2[[#Headers],[b1]],1))),$B$1)</f>
        <v>1</v>
      </c>
      <c r="F14" s="229">
        <f>MOD(INT(t_B5n2[[#This Row],[x]]/$B$1^INT(RIGHT(t_B5n2[[#Headers],[b0]],1))),$B$1)</f>
        <v>4</v>
      </c>
    </row>
    <row r="15" spans="1:72" x14ac:dyDescent="0.25">
      <c r="A15" s="9">
        <v>10</v>
      </c>
      <c r="B15" s="9">
        <f>ROUNDUP(t_B5n2_Fixed[[#This Row],[Row]]-$B$3,0)</f>
        <v>-2</v>
      </c>
      <c r="C15" s="11">
        <f>t_B5n2[[#This Row],[x]]-D14</f>
        <v>1</v>
      </c>
      <c r="D15" s="9">
        <v>10</v>
      </c>
      <c r="E15" s="44">
        <f>MOD(INT(t_B5n2[[#This Row],[x]]/$B$1^INT(RIGHT(t_B5n2[[#Headers],[b1]],1))),$B$1)</f>
        <v>2</v>
      </c>
      <c r="F15" s="45">
        <f>MOD(INT(t_B5n2[[#This Row],[x]]/$B$1^INT(RIGHT(t_B5n2[[#Headers],[b0]],1))),$B$1)</f>
        <v>0</v>
      </c>
    </row>
    <row r="16" spans="1:72" x14ac:dyDescent="0.25">
      <c r="A16" s="9">
        <v>11</v>
      </c>
      <c r="B16" s="9">
        <f>ROUNDUP(t_B5n2_Fixed[[#This Row],[Row]]-$B$3,0)</f>
        <v>-1</v>
      </c>
      <c r="C16" s="11">
        <f>t_B5n2[[#This Row],[x]]-D15</f>
        <v>1</v>
      </c>
      <c r="D16" s="9">
        <v>11</v>
      </c>
      <c r="E16" s="190">
        <f>MOD(INT(t_B5n2[[#This Row],[x]]/$B$1^INT(RIGHT(t_B5n2[[#Headers],[b1]],1))),$B$1)</f>
        <v>2</v>
      </c>
      <c r="F16" s="191">
        <f>MOD(INT(t_B5n2[[#This Row],[x]]/$B$1^INT(RIGHT(t_B5n2[[#Headers],[b0]],1))),$B$1)</f>
        <v>1</v>
      </c>
    </row>
    <row r="17" spans="1:7" ht="15.75" thickBot="1" x14ac:dyDescent="0.3">
      <c r="A17" s="22">
        <v>12</v>
      </c>
      <c r="B17" s="22">
        <f>ROUNDUP(t_B5n2_Fixed[[#This Row],[Row]]-$B$3,0)</f>
        <v>0</v>
      </c>
      <c r="C17" s="23">
        <f>t_B5n2[[#This Row],[x]]-D16</f>
        <v>1</v>
      </c>
      <c r="D17" s="22">
        <v>12</v>
      </c>
      <c r="E17" s="22">
        <f>MOD(INT(t_B5n2[[#This Row],[x]]/$B$1^INT(RIGHT(t_B5n2[[#Headers],[b1]],1))),$B$1)</f>
        <v>2</v>
      </c>
      <c r="F17" s="23">
        <f>MOD(INT(t_B5n2[[#This Row],[x]]/$B$1^INT(RIGHT(t_B5n2[[#Headers],[b0]],1))),$B$1)</f>
        <v>2</v>
      </c>
      <c r="G17" s="28" t="s">
        <v>0</v>
      </c>
    </row>
    <row r="18" spans="1:7" x14ac:dyDescent="0.25">
      <c r="A18" s="9">
        <v>13</v>
      </c>
      <c r="B18" s="9">
        <f>ROUNDUP(t_B5n2_Fixed[[#This Row],[Row]]-$B$3,0)</f>
        <v>1</v>
      </c>
      <c r="C18" s="11">
        <f>t_B5n2[[#This Row],[x]]-D17</f>
        <v>1</v>
      </c>
      <c r="D18" s="138">
        <v>13</v>
      </c>
      <c r="E18" s="62">
        <f>MOD(INT(t_B5n2[[#This Row],[x]]/$B$1^INT(RIGHT(t_B5n2[[#Headers],[b1]],1))),$B$1)</f>
        <v>2</v>
      </c>
      <c r="F18" s="63">
        <f>MOD(INT(t_B5n2[[#This Row],[x]]/$B$1^INT(RIGHT(t_B5n2[[#Headers],[b0]],1))),$B$1)</f>
        <v>3</v>
      </c>
    </row>
    <row r="19" spans="1:7" x14ac:dyDescent="0.25">
      <c r="A19" s="9">
        <v>14</v>
      </c>
      <c r="B19" s="9">
        <f>ROUNDUP(t_B5n2_Fixed[[#This Row],[Row]]-$B$3,0)</f>
        <v>2</v>
      </c>
      <c r="C19" s="11">
        <f>t_B5n2[[#This Row],[x]]-D18</f>
        <v>1</v>
      </c>
      <c r="D19" s="9">
        <v>14</v>
      </c>
      <c r="E19" s="173">
        <f>MOD(INT(t_B5n2[[#This Row],[x]]/$B$1^INT(RIGHT(t_B5n2[[#Headers],[b1]],1))),$B$1)</f>
        <v>2</v>
      </c>
      <c r="F19" s="170">
        <f>MOD(INT(t_B5n2[[#This Row],[x]]/$B$1^INT(RIGHT(t_B5n2[[#Headers],[b0]],1))),$B$1)</f>
        <v>4</v>
      </c>
    </row>
    <row r="20" spans="1:7" x14ac:dyDescent="0.25">
      <c r="A20" s="9">
        <v>15</v>
      </c>
      <c r="B20" s="9">
        <f>ROUNDUP(t_B5n2_Fixed[[#This Row],[Row]]-$B$3,0)</f>
        <v>3</v>
      </c>
      <c r="C20" s="11">
        <f>t_B5n2[[#This Row],[x]]-D19</f>
        <v>1</v>
      </c>
      <c r="D20" s="9">
        <v>15</v>
      </c>
      <c r="E20" s="175">
        <f>MOD(INT(t_B5n2[[#This Row],[x]]/$B$1^INT(RIGHT(t_B5n2[[#Headers],[b1]],1))),$B$1)</f>
        <v>3</v>
      </c>
      <c r="F20" s="167">
        <f>MOD(INT(t_B5n2[[#This Row],[x]]/$B$1^INT(RIGHT(t_B5n2[[#Headers],[b0]],1))),$B$1)</f>
        <v>0</v>
      </c>
    </row>
    <row r="21" spans="1:7" x14ac:dyDescent="0.25">
      <c r="A21" s="9">
        <v>16</v>
      </c>
      <c r="B21" s="9">
        <f>ROUNDUP(t_B5n2_Fixed[[#This Row],[Row]]-$B$3,0)</f>
        <v>4</v>
      </c>
      <c r="C21" s="11">
        <f>t_B5n2[[#This Row],[x]]-D20</f>
        <v>1</v>
      </c>
      <c r="D21" s="9">
        <v>16</v>
      </c>
      <c r="E21" s="40">
        <f>MOD(INT(t_B5n2[[#This Row],[x]]/$B$1^INT(RIGHT(t_B5n2[[#Headers],[b1]],1))),$B$1)</f>
        <v>3</v>
      </c>
      <c r="F21" s="41">
        <f>MOD(INT(t_B5n2[[#This Row],[x]]/$B$1^INT(RIGHT(t_B5n2[[#Headers],[b0]],1))),$B$1)</f>
        <v>1</v>
      </c>
    </row>
    <row r="22" spans="1:7" x14ac:dyDescent="0.25">
      <c r="A22" s="9">
        <v>17</v>
      </c>
      <c r="B22" s="9">
        <f>ROUNDUP(t_B5n2_Fixed[[#This Row],[Row]]-$B$3,0)</f>
        <v>5</v>
      </c>
      <c r="C22" s="11">
        <f>t_B5n2[[#This Row],[x]]-D21</f>
        <v>1</v>
      </c>
      <c r="D22" s="139">
        <v>17</v>
      </c>
      <c r="E22" s="62">
        <f>MOD(INT(t_B5n2[[#This Row],[x]]/$B$1^INT(RIGHT(t_B5n2[[#Headers],[b1]],1))),$B$1)</f>
        <v>3</v>
      </c>
      <c r="F22" s="63">
        <f>MOD(INT(t_B5n2[[#This Row],[x]]/$B$1^INT(RIGHT(t_B5n2[[#Headers],[b0]],1))),$B$1)</f>
        <v>2</v>
      </c>
    </row>
    <row r="23" spans="1:7" x14ac:dyDescent="0.25">
      <c r="A23" s="9">
        <v>18</v>
      </c>
      <c r="B23" s="9">
        <f>ROUNDUP(t_B5n2_Fixed[[#This Row],[Row]]-$B$3,0)</f>
        <v>6</v>
      </c>
      <c r="C23" s="11">
        <f>t_B5n2[[#This Row],[x]]-D22</f>
        <v>1</v>
      </c>
      <c r="D23" s="9">
        <v>18</v>
      </c>
      <c r="E23" s="60">
        <f>MOD(INT(t_B5n2[[#This Row],[x]]/$B$1^INT(RIGHT(t_B5n2[[#Headers],[b1]],1))),$B$1)</f>
        <v>3</v>
      </c>
      <c r="F23" s="61">
        <f>MOD(INT(t_B5n2[[#This Row],[x]]/$B$1^INT(RIGHT(t_B5n2[[#Headers],[b0]],1))),$B$1)</f>
        <v>3</v>
      </c>
    </row>
    <row r="24" spans="1:7" x14ac:dyDescent="0.25">
      <c r="A24" s="9">
        <v>19</v>
      </c>
      <c r="B24" s="9">
        <f>ROUNDUP(t_B5n2_Fixed[[#This Row],[Row]]-$B$3,0)</f>
        <v>7</v>
      </c>
      <c r="C24" s="11">
        <f>t_B5n2[[#This Row],[x]]-D23</f>
        <v>1</v>
      </c>
      <c r="D24" s="9">
        <v>19</v>
      </c>
      <c r="E24" s="54">
        <f>MOD(INT(t_B5n2[[#This Row],[x]]/$B$1^INT(RIGHT(t_B5n2[[#Headers],[b1]],1))),$B$1)</f>
        <v>3</v>
      </c>
      <c r="F24" s="55">
        <f>MOD(INT(t_B5n2[[#This Row],[x]]/$B$1^INT(RIGHT(t_B5n2[[#Headers],[b0]],1))),$B$1)</f>
        <v>4</v>
      </c>
    </row>
    <row r="25" spans="1:7" x14ac:dyDescent="0.25">
      <c r="A25" s="9">
        <v>20</v>
      </c>
      <c r="B25" s="9">
        <f>ROUNDUP(t_B5n2_Fixed[[#This Row],[Row]]-$B$3,0)</f>
        <v>8</v>
      </c>
      <c r="C25" s="11">
        <f>t_B5n2[[#This Row],[x]]-D24</f>
        <v>1</v>
      </c>
      <c r="D25" s="9">
        <v>20</v>
      </c>
      <c r="E25" s="176">
        <f>MOD(INT(t_B5n2[[#This Row],[x]]/$B$1^INT(RIGHT(t_B5n2[[#Headers],[b1]],1))),$B$1)</f>
        <v>4</v>
      </c>
      <c r="F25" s="177">
        <f>MOD(INT(t_B5n2[[#This Row],[x]]/$B$1^INT(RIGHT(t_B5n2[[#Headers],[b0]],1))),$B$1)</f>
        <v>0</v>
      </c>
    </row>
    <row r="26" spans="1:7" x14ac:dyDescent="0.25">
      <c r="A26" s="9">
        <v>21</v>
      </c>
      <c r="B26" s="9">
        <f>ROUNDUP(t_B5n2_Fixed[[#This Row],[Row]]-$B$3,0)</f>
        <v>9</v>
      </c>
      <c r="C26" s="11">
        <f>t_B5n2[[#This Row],[x]]-D25</f>
        <v>1</v>
      </c>
      <c r="D26" s="9">
        <v>21</v>
      </c>
      <c r="E26" s="228">
        <f>MOD(INT(t_B5n2[[#This Row],[x]]/$B$1^INT(RIGHT(t_B5n2[[#Headers],[b1]],1))),$B$1)</f>
        <v>4</v>
      </c>
      <c r="F26" s="229">
        <f>MOD(INT(t_B5n2[[#This Row],[x]]/$B$1^INT(RIGHT(t_B5n2[[#Headers],[b0]],1))),$B$1)</f>
        <v>1</v>
      </c>
    </row>
    <row r="27" spans="1:7" x14ac:dyDescent="0.25">
      <c r="A27" s="9">
        <v>22</v>
      </c>
      <c r="B27" s="9">
        <f>ROUNDUP(t_B5n2_Fixed[[#This Row],[Row]]-$B$3,0)</f>
        <v>10</v>
      </c>
      <c r="C27" s="11">
        <f>t_B5n2[[#This Row],[x]]-D26</f>
        <v>1</v>
      </c>
      <c r="D27" s="9">
        <v>22</v>
      </c>
      <c r="E27" s="173">
        <f>MOD(INT(t_B5n2[[#This Row],[x]]/$B$1^INT(RIGHT(t_B5n2[[#Headers],[b1]],1))),$B$1)</f>
        <v>4</v>
      </c>
      <c r="F27" s="170">
        <f>MOD(INT(t_B5n2[[#This Row],[x]]/$B$1^INT(RIGHT(t_B5n2[[#Headers],[b0]],1))),$B$1)</f>
        <v>2</v>
      </c>
    </row>
    <row r="28" spans="1:7" x14ac:dyDescent="0.25">
      <c r="A28" s="9">
        <v>23</v>
      </c>
      <c r="B28" s="9">
        <f>ROUNDUP(t_B5n2_Fixed[[#This Row],[Row]]-$B$3,0)</f>
        <v>11</v>
      </c>
      <c r="C28" s="11">
        <f>t_B5n2[[#This Row],[x]]-D27</f>
        <v>1</v>
      </c>
      <c r="D28" s="9">
        <v>23</v>
      </c>
      <c r="E28" s="54">
        <f>MOD(INT(t_B5n2[[#This Row],[x]]/$B$1^INT(RIGHT(t_B5n2[[#Headers],[b1]],1))),$B$1)</f>
        <v>4</v>
      </c>
      <c r="F28" s="55">
        <f>MOD(INT(t_B5n2[[#This Row],[x]]/$B$1^INT(RIGHT(t_B5n2[[#Headers],[b0]],1))),$B$1)</f>
        <v>3</v>
      </c>
    </row>
    <row r="29" spans="1:7" x14ac:dyDescent="0.25">
      <c r="A29" s="9">
        <v>24</v>
      </c>
      <c r="B29" s="9">
        <f>ROUNDUP(t_B5n2_Fixed[[#This Row],[Row]]-$B$3,0)</f>
        <v>12</v>
      </c>
      <c r="C29" s="11">
        <f>t_B5n2[[#This Row],[x]]-D28</f>
        <v>1</v>
      </c>
      <c r="D29" s="9">
        <v>24</v>
      </c>
      <c r="E29" s="75">
        <f>MOD(INT(t_B5n2[[#This Row],[x]]/$B$1^INT(RIGHT(t_B5n2[[#Headers],[b1]],1))),$B$1)</f>
        <v>4</v>
      </c>
      <c r="F29" s="76">
        <f>MOD(INT(t_B5n2[[#This Row],[x]]/$B$1^INT(RIGHT(t_B5n2[[#Headers],[b0]],1))),$B$1)</f>
        <v>4</v>
      </c>
    </row>
    <row r="30" spans="1:7" x14ac:dyDescent="0.25">
      <c r="A30" s="198" t="s">
        <v>1</v>
      </c>
      <c r="B30" s="139"/>
      <c r="C30">
        <f>SUBTOTAL(109,t_B5n2_Fixed[Interval])</f>
        <v>24</v>
      </c>
      <c r="D30" s="17" t="s">
        <v>1</v>
      </c>
      <c r="E30" s="17">
        <f>SUBTOTAL(109,t_B5n2[b1])</f>
        <v>50</v>
      </c>
      <c r="F30" s="17">
        <f>SUBTOTAL(109,t_B5n2[b0])</f>
        <v>50</v>
      </c>
    </row>
  </sheetData>
  <phoneticPr fontId="22" type="noConversion"/>
  <pageMargins left="0.7" right="0.7" top="0.75" bottom="0.75" header="0.3" footer="0.3"/>
  <pageSetup paperSize="9" orientation="portrait" horizontalDpi="1200" verticalDpi="1200"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C2A0-1EB0-4A73-B269-CB4E47570AC0}">
  <dimension ref="A1:S9"/>
  <sheetViews>
    <sheetView workbookViewId="0">
      <pane ySplit="4" topLeftCell="A5" activePane="bottomLeft" state="frozen"/>
      <selection pane="bottomLeft"/>
    </sheetView>
  </sheetViews>
  <sheetFormatPr defaultRowHeight="15" x14ac:dyDescent="0.25"/>
  <cols>
    <col min="1" max="1" width="9.5703125" style="17" bestFit="1" customWidth="1"/>
    <col min="2" max="2" width="5.5703125" style="17" bestFit="1" customWidth="1"/>
    <col min="3" max="4" width="3.7109375" style="17" bestFit="1" customWidth="1"/>
    <col min="5" max="5" width="5.7109375" style="17" bestFit="1" customWidth="1"/>
    <col min="6" max="6" width="5.140625" style="17" bestFit="1" customWidth="1"/>
    <col min="7" max="7" width="5.140625" style="17" customWidth="1"/>
    <col min="8" max="8" width="7.85546875" style="17" customWidth="1"/>
    <col min="9" max="9" width="9.140625" style="17" customWidth="1"/>
    <col min="10" max="10" width="23.5703125" style="17" bestFit="1" customWidth="1"/>
    <col min="11" max="11" width="4.140625" style="17" bestFit="1" customWidth="1"/>
    <col min="12" max="12" width="2.5703125" style="17" customWidth="1"/>
    <col min="13" max="13" width="3.85546875" style="17" bestFit="1" customWidth="1"/>
    <col min="14" max="14" width="9.140625" style="17"/>
    <col min="15" max="15" width="3.7109375" style="17" bestFit="1" customWidth="1"/>
    <col min="16" max="16" width="6" style="17" bestFit="1" customWidth="1"/>
    <col min="17" max="17" width="4.85546875" style="17" bestFit="1" customWidth="1"/>
    <col min="18" max="18" width="7.7109375" style="17" bestFit="1" customWidth="1"/>
    <col min="19" max="19" width="7.85546875" style="17" customWidth="1"/>
    <col min="20" max="16384" width="9.140625" style="17"/>
  </cols>
  <sheetData>
    <row r="1" spans="1:19" ht="18.75" x14ac:dyDescent="0.3">
      <c r="A1" s="202" t="s">
        <v>2</v>
      </c>
      <c r="B1" s="203">
        <v>2</v>
      </c>
    </row>
    <row r="2" spans="1:19" ht="18.75" x14ac:dyDescent="0.3">
      <c r="A2" s="202" t="s">
        <v>4</v>
      </c>
      <c r="B2" s="203">
        <v>2</v>
      </c>
    </row>
    <row r="3" spans="1:19" ht="18.75" x14ac:dyDescent="0.3">
      <c r="A3" s="202" t="s">
        <v>0</v>
      </c>
      <c r="B3" s="203">
        <f>(B1^B2 - 1)/2</f>
        <v>1.5</v>
      </c>
    </row>
    <row r="4" spans="1:19" ht="51.75" thickBot="1" x14ac:dyDescent="0.3">
      <c r="A4" s="120" t="s">
        <v>25</v>
      </c>
      <c r="B4" s="120" t="s">
        <v>6</v>
      </c>
      <c r="C4" s="120" t="s">
        <v>26</v>
      </c>
      <c r="D4" s="120" t="s">
        <v>28</v>
      </c>
      <c r="E4" s="208" t="s">
        <v>27</v>
      </c>
      <c r="F4" s="121" t="s">
        <v>8</v>
      </c>
      <c r="G4" s="121" t="s">
        <v>7</v>
      </c>
      <c r="O4" s="120" t="s">
        <v>28</v>
      </c>
      <c r="P4" s="120" t="s">
        <v>26</v>
      </c>
      <c r="Q4" s="254" t="s">
        <v>539</v>
      </c>
      <c r="R4" s="120" t="s">
        <v>537</v>
      </c>
    </row>
    <row r="5" spans="1:19" ht="16.5" thickTop="1" thickBot="1" x14ac:dyDescent="0.3">
      <c r="A5" s="6">
        <v>0</v>
      </c>
      <c r="B5" s="6">
        <v>1</v>
      </c>
      <c r="C5" s="6">
        <f>ROUNDUP(t_B2n2_P_Fixed[[#This Row],[Fixed]]-$B$3,0)</f>
        <v>-1</v>
      </c>
      <c r="D5" s="7"/>
      <c r="E5" s="6">
        <v>1</v>
      </c>
      <c r="F5" s="196">
        <f>MOD(INT(t_B2n2_P[[#This Row],[x]]/$B$1^INT(RIGHT(t_B2n2_P[[#Headers],[b1]],1))),$B$1)</f>
        <v>0</v>
      </c>
      <c r="G5" s="196">
        <f>MOD(INT(t_B2n2_P[[#This Row],[x]]/$B$1^INT(RIGHT(t_B2n2_P[[#Headers],[b0]],1))),$B$1)</f>
        <v>1</v>
      </c>
      <c r="H5" s="27" t="s">
        <v>0</v>
      </c>
      <c r="O5" s="139"/>
      <c r="P5" s="6">
        <f>INDEX(t_B2n2_P_Fixed[Offset],MATCH($B$5,t_B2n2_P[x],0),1)</f>
        <v>-1</v>
      </c>
      <c r="Q5" s="6">
        <v>1</v>
      </c>
      <c r="R5" s="301" t="s">
        <v>385</v>
      </c>
      <c r="S5" s="27" t="s">
        <v>0</v>
      </c>
    </row>
    <row r="6" spans="1:19" ht="15.75" thickBot="1" x14ac:dyDescent="0.3">
      <c r="A6" s="139">
        <v>1</v>
      </c>
      <c r="B6" s="139">
        <v>2</v>
      </c>
      <c r="C6" s="139">
        <f>ROUNDUP(t_B2n2_P_Fixed[[#This Row],[Fixed]]-$B$3,0)</f>
        <v>1</v>
      </c>
      <c r="D6" s="12">
        <f>t_B2n2_P[[#This Row],[x]]-E5</f>
        <v>1</v>
      </c>
      <c r="E6" s="139">
        <v>2</v>
      </c>
      <c r="F6" s="168">
        <f>MOD(INT(t_B2n2_P[[#This Row],[x]]/$B$1^INT(RIGHT(t_B2n2_P[[#Headers],[b1]],1))),$B$1)</f>
        <v>1</v>
      </c>
      <c r="G6" s="168">
        <f>MOD(INT(t_B2n2_P[[#This Row],[x]]/$B$1^INT(RIGHT(t_B2n2_P[[#Headers],[b0]],1))),$B$1)</f>
        <v>0</v>
      </c>
      <c r="J6" s="34" t="s">
        <v>21</v>
      </c>
      <c r="K6" s="35" t="s">
        <v>5</v>
      </c>
      <c r="O6" s="139">
        <f>t_B2n2_P_AB1[[#This Row],[Offset]]-P5</f>
        <v>2</v>
      </c>
      <c r="P6" s="139">
        <f>INDEX(t_B2n2_P_Fixed[Offset],MATCH($B$6,t_B2n2_P[x],0),1)</f>
        <v>1</v>
      </c>
      <c r="Q6" s="139">
        <v>2</v>
      </c>
      <c r="R6" s="271" t="s">
        <v>386</v>
      </c>
    </row>
    <row r="7" spans="1:19" ht="15.75" thickBot="1" x14ac:dyDescent="0.3">
      <c r="A7"/>
      <c r="B7" s="197" t="s">
        <v>1</v>
      </c>
      <c r="C7" s="139"/>
      <c r="D7"/>
      <c r="E7" s="17" t="s">
        <v>1</v>
      </c>
      <c r="F7" s="17">
        <f>SUBTOTAL(109,t_B2n2_P[b1])</f>
        <v>1</v>
      </c>
      <c r="G7" s="17">
        <f>SUBTOTAL(109,t_B2n2_P[b0])</f>
        <v>1</v>
      </c>
      <c r="J7" s="36" t="s">
        <v>13</v>
      </c>
      <c r="K7" s="37">
        <v>1</v>
      </c>
      <c r="M7" s="89" t="s">
        <v>33</v>
      </c>
    </row>
    <row r="8" spans="1:19" x14ac:dyDescent="0.25">
      <c r="J8" s="113" t="s">
        <v>15</v>
      </c>
      <c r="K8" s="114">
        <v>1</v>
      </c>
    </row>
    <row r="9" spans="1:19" ht="15.75" thickBot="1" x14ac:dyDescent="0.3">
      <c r="J9" s="115" t="s">
        <v>16</v>
      </c>
      <c r="K9" s="117">
        <v>1</v>
      </c>
    </row>
  </sheetData>
  <phoneticPr fontId="22" type="noConversion"/>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F923E-2793-408A-85D9-CB39017981C5}">
  <dimension ref="A1:W28"/>
  <sheetViews>
    <sheetView workbookViewId="0">
      <pane ySplit="4" topLeftCell="A5" activePane="bottomLeft" state="frozen"/>
      <selection pane="bottomLeft"/>
    </sheetView>
  </sheetViews>
  <sheetFormatPr defaultColWidth="9.5703125" defaultRowHeight="15" x14ac:dyDescent="0.25"/>
  <cols>
    <col min="1" max="1" width="9.5703125" style="17" bestFit="1" customWidth="1"/>
    <col min="2" max="2" width="5.42578125" style="17" bestFit="1" customWidth="1"/>
    <col min="3" max="4" width="3.7109375" style="17" bestFit="1" customWidth="1"/>
    <col min="5" max="5" width="5.7109375" style="17" bestFit="1" customWidth="1"/>
    <col min="6" max="7" width="5.140625" style="17" bestFit="1" customWidth="1"/>
    <col min="8" max="8" width="5.140625" style="16" customWidth="1"/>
    <col min="9" max="9" width="7.85546875" style="17" bestFit="1" customWidth="1"/>
    <col min="10" max="10" width="9.140625" style="17" customWidth="1"/>
    <col min="11" max="11" width="23.5703125" style="17" bestFit="1" customWidth="1"/>
    <col min="12" max="12" width="4.140625" style="17" bestFit="1" customWidth="1"/>
    <col min="13" max="13" width="2" style="17" bestFit="1" customWidth="1"/>
    <col min="14" max="15" width="3.85546875" style="17" bestFit="1" customWidth="1"/>
    <col min="16" max="16" width="2.5703125" style="17" bestFit="1" customWidth="1"/>
    <col min="17" max="17" width="9.5703125" style="17"/>
    <col min="18" max="18" width="3.7109375" style="17" bestFit="1" customWidth="1"/>
    <col min="19" max="19" width="6" style="17" bestFit="1" customWidth="1"/>
    <col min="20" max="21" width="4.85546875" style="17" bestFit="1" customWidth="1"/>
    <col min="22" max="22" width="9" style="17" bestFit="1" customWidth="1"/>
    <col min="23" max="23" width="7.85546875" style="17" bestFit="1" customWidth="1"/>
    <col min="24" max="16384" width="9.5703125" style="17"/>
  </cols>
  <sheetData>
    <row r="1" spans="1:23" ht="18.75" x14ac:dyDescent="0.3">
      <c r="A1" s="202" t="s">
        <v>2</v>
      </c>
      <c r="B1" s="203">
        <v>3</v>
      </c>
    </row>
    <row r="2" spans="1:23" ht="18.75" x14ac:dyDescent="0.3">
      <c r="A2" s="202" t="s">
        <v>4</v>
      </c>
      <c r="B2" s="203">
        <v>3</v>
      </c>
    </row>
    <row r="3" spans="1:23" ht="18.75" x14ac:dyDescent="0.3">
      <c r="A3" s="202" t="s">
        <v>0</v>
      </c>
      <c r="B3" s="203">
        <f>(B1^B2 - 1)/2</f>
        <v>13</v>
      </c>
    </row>
    <row r="4" spans="1:23" ht="51.75" thickBot="1" x14ac:dyDescent="0.3">
      <c r="A4" s="120" t="s">
        <v>25</v>
      </c>
      <c r="B4" s="120" t="s">
        <v>6</v>
      </c>
      <c r="C4" s="120" t="s">
        <v>26</v>
      </c>
      <c r="D4" s="120" t="s">
        <v>28</v>
      </c>
      <c r="E4" s="208" t="s">
        <v>27</v>
      </c>
      <c r="F4" s="121" t="s">
        <v>9</v>
      </c>
      <c r="G4" s="121" t="s">
        <v>8</v>
      </c>
      <c r="H4" s="121" t="s">
        <v>7</v>
      </c>
      <c r="I4" s="16"/>
      <c r="R4" s="120" t="s">
        <v>28</v>
      </c>
      <c r="S4" s="120" t="s">
        <v>26</v>
      </c>
      <c r="T4" s="254" t="s">
        <v>538</v>
      </c>
      <c r="U4" s="254" t="s">
        <v>539</v>
      </c>
      <c r="V4" s="120" t="s">
        <v>537</v>
      </c>
      <c r="W4" s="16"/>
    </row>
    <row r="5" spans="1:23" ht="16.5" thickTop="1" thickBot="1" x14ac:dyDescent="0.3">
      <c r="A5" s="139">
        <v>0</v>
      </c>
      <c r="B5" s="139">
        <v>5</v>
      </c>
      <c r="C5" s="139">
        <f>ROUNDUP(t_B3n3_P_Fixed[[#This Row],[Fixed]]-$B$3,0)</f>
        <v>-8</v>
      </c>
      <c r="D5" s="12"/>
      <c r="E5" s="139">
        <v>5</v>
      </c>
      <c r="F5" s="136">
        <f>MOD(INT(t_B3n3_P[[#This Row],[x]]/$B$1^INT(RIGHT(t_B3n3_P[[#Headers],[b2]],1))),$B$1)</f>
        <v>0</v>
      </c>
      <c r="G5" s="136">
        <f>MOD(INT(t_B3n3_P[[#This Row],[x]]/$B$1^INT(RIGHT(t_B3n3_P[[#Headers],[b1]],1))),$B$1)</f>
        <v>1</v>
      </c>
      <c r="H5" s="137">
        <f>MOD(INT(t_B3n3_P[[#This Row],[x]]/$B$1^INT(RIGHT(t_B3n3_P[[#Headers],[b0]],1))),$B$1)</f>
        <v>2</v>
      </c>
      <c r="I5" s="16"/>
      <c r="J5" s="10"/>
      <c r="R5" s="139"/>
      <c r="S5" s="139">
        <f>INDEX(t_B3n3_P_Fixed[Offset],MATCH($B$5,t_B3n3_P[x],0),1)</f>
        <v>-8</v>
      </c>
      <c r="T5" s="139">
        <v>0</v>
      </c>
      <c r="U5" s="139">
        <v>5</v>
      </c>
      <c r="V5" s="271" t="s">
        <v>387</v>
      </c>
      <c r="W5" s="16"/>
    </row>
    <row r="6" spans="1:23" ht="15.75" thickBot="1" x14ac:dyDescent="0.3">
      <c r="A6" s="139">
        <v>1</v>
      </c>
      <c r="B6" s="139">
        <v>7</v>
      </c>
      <c r="C6" s="139">
        <f>ROUNDUP(t_B3n3_P_Fixed[[#This Row],[Fixed]]-$B$3,0)</f>
        <v>-6</v>
      </c>
      <c r="D6" s="12">
        <f>t_B3n3_P[[#This Row],[x]]-E5</f>
        <v>2</v>
      </c>
      <c r="E6" s="139">
        <v>7</v>
      </c>
      <c r="F6" s="75">
        <f>MOD(INT(t_B3n3_P[[#This Row],[x]]/$B$1^INT(RIGHT(t_B3n3_P[[#Headers],[b2]],1))),$B$1)</f>
        <v>0</v>
      </c>
      <c r="G6" s="75">
        <f>MOD(INT(t_B3n3_P[[#This Row],[x]]/$B$1^INT(RIGHT(t_B3n3_P[[#Headers],[b1]],1))),$B$1)</f>
        <v>2</v>
      </c>
      <c r="H6" s="76">
        <f>MOD(INT(t_B3n3_P[[#This Row],[x]]/$B$1^INT(RIGHT(t_B3n3_P[[#Headers],[b0]],1))),$B$1)</f>
        <v>1</v>
      </c>
      <c r="I6" s="16"/>
      <c r="J6" s="123"/>
      <c r="K6" s="34" t="s">
        <v>21</v>
      </c>
      <c r="L6" s="35" t="s">
        <v>5</v>
      </c>
      <c r="R6" s="139">
        <f>t_B3n3_P_AB1[[#This Row],[Offset]]-S5</f>
        <v>2</v>
      </c>
      <c r="S6" s="139">
        <f>INDEX(t_B3n3_P_Fixed[Offset],MATCH($B$6,t_B3n3_P[x],0),1)</f>
        <v>-6</v>
      </c>
      <c r="T6" s="139">
        <v>3</v>
      </c>
      <c r="U6" s="139">
        <v>7</v>
      </c>
      <c r="V6" s="272" t="s">
        <v>388</v>
      </c>
      <c r="W6" s="16"/>
    </row>
    <row r="7" spans="1:23" ht="15.75" thickBot="1" x14ac:dyDescent="0.3">
      <c r="A7" s="6">
        <v>2</v>
      </c>
      <c r="B7" s="6">
        <v>11</v>
      </c>
      <c r="C7" s="6">
        <f>ROUNDUP(t_B3n3_P_Fixed[[#This Row],[Fixed]]-$B$3,0)</f>
        <v>-2</v>
      </c>
      <c r="D7" s="7">
        <f>t_B3n3_P[[#This Row],[x]]-E6</f>
        <v>4</v>
      </c>
      <c r="E7" s="6">
        <v>11</v>
      </c>
      <c r="F7" s="236">
        <f>MOD(INT(t_B3n3_P[[#This Row],[x]]/$B$1^INT(RIGHT(t_B3n3_P[[#Headers],[b2]],1))),$B$1)</f>
        <v>1</v>
      </c>
      <c r="G7" s="236">
        <f>MOD(INT(t_B3n3_P[[#This Row],[x]]/$B$1^INT(RIGHT(t_B3n3_P[[#Headers],[b1]],1))),$B$1)</f>
        <v>0</v>
      </c>
      <c r="H7" s="237">
        <f>MOD(INT(t_B3n3_P[[#This Row],[x]]/$B$1^INT(RIGHT(t_B3n3_P[[#Headers],[b0]],1))),$B$1)</f>
        <v>2</v>
      </c>
      <c r="I7" s="25" t="s">
        <v>0</v>
      </c>
      <c r="J7" s="123"/>
      <c r="K7" s="36" t="s">
        <v>17</v>
      </c>
      <c r="L7" s="37">
        <v>1</v>
      </c>
      <c r="N7" s="89" t="s">
        <v>33</v>
      </c>
      <c r="O7" s="107" t="s">
        <v>34</v>
      </c>
      <c r="R7" s="139">
        <f>t_B3n3_P_AB1[[#This Row],[Offset]]-S6</f>
        <v>4</v>
      </c>
      <c r="S7" s="6">
        <f>INDEX(t_B3n3_P_Fixed[Offset],MATCH($B$7,t_B3n3_P[x],0),1)</f>
        <v>-2</v>
      </c>
      <c r="T7" s="6">
        <v>4</v>
      </c>
      <c r="U7" s="6">
        <v>11</v>
      </c>
      <c r="V7" s="313" t="s">
        <v>389</v>
      </c>
      <c r="W7" s="25" t="s">
        <v>0</v>
      </c>
    </row>
    <row r="8" spans="1:23" x14ac:dyDescent="0.25">
      <c r="A8" s="139">
        <v>3</v>
      </c>
      <c r="B8" s="139">
        <v>15</v>
      </c>
      <c r="C8" s="139">
        <f>ROUNDUP(t_B3n3_P_Fixed[[#This Row],[Fixed]]-$B$3,0)</f>
        <v>2</v>
      </c>
      <c r="D8" s="12">
        <f>t_B3n3_P[[#This Row],[x]]-E7</f>
        <v>4</v>
      </c>
      <c r="E8" s="9">
        <v>15</v>
      </c>
      <c r="F8" s="136">
        <f>MOD(INT(t_B3n3_P[[#This Row],[x]]/$B$1^INT(RIGHT(t_B3n3_P[[#Headers],[b2]],1))),$B$1)</f>
        <v>1</v>
      </c>
      <c r="G8" s="136">
        <f>MOD(INT(t_B3n3_P[[#This Row],[x]]/$B$1^INT(RIGHT(t_B3n3_P[[#Headers],[b1]],1))),$B$1)</f>
        <v>2</v>
      </c>
      <c r="H8" s="137">
        <f>MOD(INT(t_B3n3_P[[#This Row],[x]]/$B$1^INT(RIGHT(t_B3n3_P[[#Headers],[b0]],1))),$B$1)</f>
        <v>0</v>
      </c>
      <c r="I8" s="16"/>
      <c r="J8" s="123"/>
      <c r="K8" s="113" t="s">
        <v>15</v>
      </c>
      <c r="L8" s="114">
        <v>1</v>
      </c>
      <c r="R8" s="139">
        <f>t_B3n3_P_AB1[[#This Row],[Offset]]-S7</f>
        <v>4</v>
      </c>
      <c r="S8" s="139">
        <f>INDEX(t_B3n3_P_Fixed[Offset],MATCH($B$8,t_B3n3_P[x],0),1)</f>
        <v>2</v>
      </c>
      <c r="T8" s="139">
        <v>1</v>
      </c>
      <c r="U8" s="139">
        <v>15</v>
      </c>
      <c r="V8" s="271" t="s">
        <v>390</v>
      </c>
      <c r="W8" s="16"/>
    </row>
    <row r="9" spans="1:23" ht="15.75" thickBot="1" x14ac:dyDescent="0.3">
      <c r="A9" s="139">
        <v>4</v>
      </c>
      <c r="B9" s="139">
        <v>19</v>
      </c>
      <c r="C9" s="139">
        <f>ROUNDUP(t_B3n3_P_Fixed[[#This Row],[Fixed]]-$B$3,0)</f>
        <v>6</v>
      </c>
      <c r="D9" s="12">
        <f>t_B3n3_P[[#This Row],[x]]-E8</f>
        <v>4</v>
      </c>
      <c r="E9" s="139">
        <v>19</v>
      </c>
      <c r="F9" s="136">
        <f>MOD(INT(t_B3n3_P[[#This Row],[x]]/$B$1^INT(RIGHT(t_B3n3_P[[#Headers],[b2]],1))),$B$1)</f>
        <v>2</v>
      </c>
      <c r="G9" s="136">
        <f>MOD(INT(t_B3n3_P[[#This Row],[x]]/$B$1^INT(RIGHT(t_B3n3_P[[#Headers],[b1]],1))),$B$1)</f>
        <v>0</v>
      </c>
      <c r="H9" s="137">
        <f>MOD(INT(t_B3n3_P[[#This Row],[x]]/$B$1^INT(RIGHT(t_B3n3_P[[#Headers],[b0]],1))),$B$1)</f>
        <v>1</v>
      </c>
      <c r="I9" s="16"/>
      <c r="J9" s="29"/>
      <c r="K9" s="115" t="s">
        <v>16</v>
      </c>
      <c r="L9" s="117">
        <v>2</v>
      </c>
      <c r="R9" s="139">
        <f>t_B3n3_P_AB1[[#This Row],[Offset]]-S8</f>
        <v>4</v>
      </c>
      <c r="S9" s="139">
        <f>INDEX(t_B3n3_P_Fixed[Offset],MATCH($B$9,t_B3n3_P[x],0),1)</f>
        <v>6</v>
      </c>
      <c r="T9" s="139">
        <v>2</v>
      </c>
      <c r="U9" s="139">
        <v>19</v>
      </c>
      <c r="V9" s="271" t="s">
        <v>391</v>
      </c>
      <c r="W9" s="16"/>
    </row>
    <row r="10" spans="1:23" x14ac:dyDescent="0.25">
      <c r="A10" s="139">
        <v>5</v>
      </c>
      <c r="B10" s="139">
        <v>21</v>
      </c>
      <c r="C10" s="139">
        <f>ROUNDUP(t_B3n3_P_Fixed[[#This Row],[Fixed]]-$B$3,0)</f>
        <v>8</v>
      </c>
      <c r="D10" s="12">
        <f>t_B3n3_P[[#This Row],[x]]-E9</f>
        <v>2</v>
      </c>
      <c r="E10" s="139">
        <v>21</v>
      </c>
      <c r="F10" s="75">
        <f>MOD(INT(t_B3n3_P[[#This Row],[x]]/$B$1^INT(RIGHT(t_B3n3_P[[#Headers],[b2]],1))),$B$1)</f>
        <v>2</v>
      </c>
      <c r="G10" s="75">
        <f>MOD(INT(t_B3n3_P[[#This Row],[x]]/$B$1^INT(RIGHT(t_B3n3_P[[#Headers],[b1]],1))),$B$1)</f>
        <v>1</v>
      </c>
      <c r="H10" s="76">
        <f>MOD(INT(t_B3n3_P[[#This Row],[x]]/$B$1^INT(RIGHT(t_B3n3_P[[#Headers],[b0]],1))),$B$1)</f>
        <v>0</v>
      </c>
      <c r="I10" s="16"/>
      <c r="J10" s="29"/>
      <c r="R10" s="139">
        <f>t_B3n3_P_AB1[[#This Row],[Offset]]-S9</f>
        <v>2</v>
      </c>
      <c r="S10" s="139">
        <f>INDEX(t_B3n3_P_Fixed[Offset],MATCH($B$10,t_B3n3_P[x],0),1)</f>
        <v>8</v>
      </c>
      <c r="T10" s="139">
        <v>5</v>
      </c>
      <c r="U10" s="139">
        <v>21</v>
      </c>
      <c r="V10" s="272" t="s">
        <v>392</v>
      </c>
      <c r="W10" s="16"/>
    </row>
    <row r="11" spans="1:23" x14ac:dyDescent="0.25">
      <c r="A11"/>
      <c r="B11" s="197" t="s">
        <v>1</v>
      </c>
      <c r="C11" s="139"/>
      <c r="D11"/>
      <c r="E11" s="17" t="s">
        <v>1</v>
      </c>
      <c r="F11" s="17">
        <f>SUBTOTAL(109,t_B3n3_P[b2])</f>
        <v>6</v>
      </c>
      <c r="G11" s="17">
        <f>SUBTOTAL(109,t_B3n3_P[b1])</f>
        <v>6</v>
      </c>
      <c r="H11" s="17">
        <f>SUBTOTAL(109,t_B3n3_P[b0])</f>
        <v>6</v>
      </c>
      <c r="I11" s="16"/>
      <c r="J11" s="123"/>
      <c r="W11" s="16"/>
    </row>
    <row r="12" spans="1:23" x14ac:dyDescent="0.25">
      <c r="I12" s="16"/>
      <c r="J12" s="123"/>
      <c r="W12" s="16"/>
    </row>
    <row r="13" spans="1:23" x14ac:dyDescent="0.25">
      <c r="I13" s="16"/>
      <c r="J13" s="29"/>
      <c r="W13" s="16"/>
    </row>
    <row r="14" spans="1:23" x14ac:dyDescent="0.25">
      <c r="I14" s="16"/>
      <c r="J14" s="123"/>
      <c r="W14" s="16"/>
    </row>
    <row r="15" spans="1:23" x14ac:dyDescent="0.25">
      <c r="I15" s="16"/>
      <c r="J15" s="29"/>
      <c r="W15" s="16"/>
    </row>
    <row r="16" spans="1:23" x14ac:dyDescent="0.25">
      <c r="I16" s="16"/>
      <c r="J16" s="123"/>
      <c r="W16" s="16"/>
    </row>
    <row r="17" spans="9:23" x14ac:dyDescent="0.25">
      <c r="I17" s="16"/>
      <c r="J17" s="123"/>
      <c r="W17" s="16"/>
    </row>
    <row r="18" spans="9:23" x14ac:dyDescent="0.25">
      <c r="I18" s="16"/>
      <c r="J18" s="123"/>
      <c r="W18" s="16"/>
    </row>
    <row r="19" spans="9:23" x14ac:dyDescent="0.25">
      <c r="I19" s="16"/>
      <c r="J19" s="123"/>
      <c r="W19" s="16"/>
    </row>
    <row r="20" spans="9:23" x14ac:dyDescent="0.25">
      <c r="I20" s="16"/>
      <c r="J20" s="29"/>
      <c r="W20" s="16"/>
    </row>
    <row r="21" spans="9:23" x14ac:dyDescent="0.25">
      <c r="I21" s="16"/>
      <c r="J21" s="29"/>
      <c r="W21" s="16"/>
    </row>
    <row r="22" spans="9:23" x14ac:dyDescent="0.25">
      <c r="I22" s="16"/>
      <c r="J22" s="123"/>
      <c r="W22" s="16"/>
    </row>
    <row r="23" spans="9:23" x14ac:dyDescent="0.25">
      <c r="I23" s="16"/>
      <c r="J23" s="123"/>
      <c r="W23" s="16"/>
    </row>
    <row r="24" spans="9:23" x14ac:dyDescent="0.25">
      <c r="I24" s="16"/>
      <c r="J24" s="123"/>
      <c r="W24" s="16"/>
    </row>
    <row r="25" spans="9:23" x14ac:dyDescent="0.25">
      <c r="I25" s="16"/>
      <c r="J25" s="29"/>
      <c r="W25" s="16"/>
    </row>
    <row r="26" spans="9:23" x14ac:dyDescent="0.25">
      <c r="I26" s="16"/>
      <c r="J26" s="123"/>
      <c r="W26" s="16"/>
    </row>
    <row r="27" spans="9:23" x14ac:dyDescent="0.25">
      <c r="I27" s="16"/>
      <c r="J27" s="123"/>
      <c r="W27" s="16"/>
    </row>
    <row r="28" spans="9:23" x14ac:dyDescent="0.25">
      <c r="I28" s="16"/>
      <c r="W28" s="16"/>
    </row>
  </sheetData>
  <pageMargins left="0.7" right="0.7" top="0.75" bottom="0.75" header="0.3" footer="0.3"/>
  <pageSetup paperSize="9" orientation="portrait" horizontalDpi="1200" verticalDpi="1200" r:id="rId1"/>
  <tableParts count="4">
    <tablePart r:id="rId2"/>
    <tablePart r:id="rId3"/>
    <tablePart r:id="rId4"/>
    <tablePart r:id="rId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6F6D3-0AA3-48DD-B55D-BDB81F2C92E9}">
  <dimension ref="A1:AS132"/>
  <sheetViews>
    <sheetView zoomScaleNormal="100" workbookViewId="0">
      <pane ySplit="4" topLeftCell="A5" activePane="bottomLeft" state="frozen"/>
      <selection pane="bottomLeft"/>
    </sheetView>
  </sheetViews>
  <sheetFormatPr defaultRowHeight="15" x14ac:dyDescent="0.25"/>
  <cols>
    <col min="1" max="1" width="9.5703125" style="17" bestFit="1" customWidth="1"/>
    <col min="2" max="2" width="8.42578125" style="17" bestFit="1" customWidth="1"/>
    <col min="3" max="3" width="4.7109375" style="17" bestFit="1" customWidth="1"/>
    <col min="4" max="4" width="3.7109375" style="17" bestFit="1" customWidth="1"/>
    <col min="5" max="5" width="5.7109375" style="17" bestFit="1" customWidth="1"/>
    <col min="6" max="9" width="5.140625" style="17" bestFit="1" customWidth="1"/>
    <col min="10" max="10" width="7.85546875" style="17" bestFit="1" customWidth="1"/>
    <col min="11" max="11" width="9.140625" style="17" customWidth="1"/>
    <col min="12" max="12" width="27.7109375" style="17" bestFit="1" customWidth="1"/>
    <col min="13" max="13" width="4.140625" style="17" bestFit="1" customWidth="1"/>
    <col min="14" max="14" width="2.5703125" style="17" customWidth="1"/>
    <col min="15" max="19" width="3.85546875" style="17" bestFit="1" customWidth="1"/>
    <col min="20" max="20" width="9.140625" style="17"/>
    <col min="21" max="21" width="4.7109375" style="17" customWidth="1"/>
    <col min="22" max="22" width="6" style="17" bestFit="1" customWidth="1"/>
    <col min="23" max="24" width="4.85546875" style="17" bestFit="1" customWidth="1"/>
    <col min="25" max="25" width="10.28515625" style="17" bestFit="1" customWidth="1"/>
    <col min="26" max="26" width="7.85546875" style="17" bestFit="1" customWidth="1"/>
    <col min="27" max="27" width="9.140625" style="17"/>
    <col min="28" max="28" width="4.7109375" style="17" customWidth="1"/>
    <col min="29" max="29" width="6" style="17" bestFit="1" customWidth="1"/>
    <col min="30" max="31" width="4.85546875" style="17" bestFit="1" customWidth="1"/>
    <col min="32" max="32" width="10.28515625" style="17" bestFit="1" customWidth="1"/>
    <col min="33" max="33" width="7.85546875" style="17" bestFit="1" customWidth="1"/>
    <col min="34" max="34" width="9.140625" style="17"/>
    <col min="35" max="35" width="4.7109375" style="17" customWidth="1"/>
    <col min="36" max="36" width="6" style="17" bestFit="1" customWidth="1"/>
    <col min="37" max="37" width="4.85546875" style="17" bestFit="1" customWidth="1"/>
    <col min="38" max="38" width="10.28515625" style="17" bestFit="1" customWidth="1"/>
    <col min="39" max="39" width="7.85546875" style="17" bestFit="1" customWidth="1"/>
    <col min="40" max="40" width="9.140625" style="17"/>
    <col min="41" max="41" width="4" style="17" bestFit="1" customWidth="1"/>
    <col min="42" max="42" width="6" style="17" bestFit="1" customWidth="1"/>
    <col min="43" max="43" width="4.85546875" style="17" bestFit="1" customWidth="1"/>
    <col min="44" max="44" width="10.28515625" style="17" bestFit="1" customWidth="1"/>
    <col min="45" max="45" width="7.85546875" style="17" bestFit="1" customWidth="1"/>
    <col min="46" max="16384" width="9.140625" style="17"/>
  </cols>
  <sheetData>
    <row r="1" spans="1:45" ht="18.75" x14ac:dyDescent="0.3">
      <c r="A1" s="202" t="s">
        <v>2</v>
      </c>
      <c r="B1" s="203">
        <v>4</v>
      </c>
    </row>
    <row r="2" spans="1:45" ht="18.75" x14ac:dyDescent="0.3">
      <c r="A2" s="202" t="s">
        <v>4</v>
      </c>
      <c r="B2" s="203">
        <v>4</v>
      </c>
    </row>
    <row r="3" spans="1:45" ht="18.75" x14ac:dyDescent="0.3">
      <c r="A3" s="202" t="s">
        <v>0</v>
      </c>
      <c r="B3" s="203">
        <f>(B1^B2 - 1)/2</f>
        <v>127.5</v>
      </c>
    </row>
    <row r="4" spans="1:45" ht="51.75" thickBot="1" x14ac:dyDescent="0.3">
      <c r="A4" s="119" t="s">
        <v>25</v>
      </c>
      <c r="B4" s="119" t="s">
        <v>6</v>
      </c>
      <c r="C4" s="119" t="s">
        <v>26</v>
      </c>
      <c r="D4" s="120" t="s">
        <v>28</v>
      </c>
      <c r="E4" s="208" t="s">
        <v>27</v>
      </c>
      <c r="F4" s="121" t="s">
        <v>10</v>
      </c>
      <c r="G4" s="121" t="s">
        <v>9</v>
      </c>
      <c r="H4" s="121" t="s">
        <v>8</v>
      </c>
      <c r="I4" s="121" t="s">
        <v>7</v>
      </c>
      <c r="O4" s="8"/>
      <c r="P4" s="8"/>
      <c r="Q4" s="8"/>
      <c r="R4" s="8"/>
      <c r="S4" s="8"/>
      <c r="U4" s="120" t="s">
        <v>28</v>
      </c>
      <c r="V4" s="120" t="s">
        <v>26</v>
      </c>
      <c r="W4" s="254" t="s">
        <v>538</v>
      </c>
      <c r="X4" s="254" t="s">
        <v>539</v>
      </c>
      <c r="Y4" s="120" t="s">
        <v>537</v>
      </c>
      <c r="AB4" s="120" t="s">
        <v>28</v>
      </c>
      <c r="AC4" s="120" t="s">
        <v>26</v>
      </c>
      <c r="AD4" s="254" t="s">
        <v>538</v>
      </c>
      <c r="AE4" s="254" t="s">
        <v>539</v>
      </c>
      <c r="AF4" s="120" t="s">
        <v>537</v>
      </c>
      <c r="AI4" s="120" t="s">
        <v>28</v>
      </c>
      <c r="AJ4" s="120" t="s">
        <v>26</v>
      </c>
      <c r="AK4" s="254" t="s">
        <v>539</v>
      </c>
      <c r="AL4" s="120" t="s">
        <v>537</v>
      </c>
      <c r="AO4" s="120" t="s">
        <v>28</v>
      </c>
      <c r="AP4" s="120" t="s">
        <v>26</v>
      </c>
      <c r="AQ4" s="254" t="s">
        <v>539</v>
      </c>
      <c r="AR4" s="120" t="s">
        <v>537</v>
      </c>
    </row>
    <row r="5" spans="1:45" ht="16.5" thickTop="1" thickBot="1" x14ac:dyDescent="0.3">
      <c r="A5" s="139">
        <v>0</v>
      </c>
      <c r="B5" s="9">
        <v>27</v>
      </c>
      <c r="C5" s="9">
        <f>ROUNDUP(t_B4n4_P_Fixed[[#This Row],[Fixed]]-$B$3,0)</f>
        <v>-101</v>
      </c>
      <c r="D5" s="200"/>
      <c r="E5" s="2">
        <v>27</v>
      </c>
      <c r="F5" s="148">
        <f>MOD(INT(t_B4n4_P[[#This Row],[x]]/$B$1^INT(RIGHT(t_B4n4_P[[#Headers],[b3]],1))),$B$1)</f>
        <v>0</v>
      </c>
      <c r="G5" s="148">
        <f>MOD(INT(t_B4n4_P[[#This Row],[x]]/$B$1^INT(RIGHT(t_B4n4_P[[#Headers],[b2]],1))),$B$1)</f>
        <v>1</v>
      </c>
      <c r="H5" s="148">
        <f>MOD(INT(t_B4n4_P[[#This Row],[x]]/$B$1^INT(RIGHT(t_B4n4_P[[#Headers],[b1]],1))),$B$1)</f>
        <v>2</v>
      </c>
      <c r="I5" s="148">
        <f>MOD(INT(t_B4n4_P[[#This Row],[x]]/$B$1^INT(RIGHT(t_B4n4_P[[#Headers],[b0]],1))),$B$1)</f>
        <v>3</v>
      </c>
      <c r="J5" s="16"/>
      <c r="O5" s="8"/>
      <c r="P5" s="8"/>
      <c r="Q5" s="8"/>
      <c r="R5" s="8"/>
      <c r="S5" s="8"/>
      <c r="U5" s="139"/>
      <c r="V5" s="139">
        <f>INDEX(t_B4n4_P_Fixed[Offset],MATCH($B$5,t_B4n4_P[x],0),1)</f>
        <v>-101</v>
      </c>
      <c r="W5" s="139">
        <v>0</v>
      </c>
      <c r="X5" s="139">
        <v>27</v>
      </c>
      <c r="Y5" s="271" t="s">
        <v>393</v>
      </c>
      <c r="AB5" s="139"/>
      <c r="AC5" s="139">
        <f>INDEX(t_B4n4_P_Fixed[Offset],MATCH($B$7,t_B4n4_P[x],0),1)</f>
        <v>-89</v>
      </c>
      <c r="AD5" s="139">
        <v>0</v>
      </c>
      <c r="AE5" s="139">
        <v>39</v>
      </c>
      <c r="AF5" s="274" t="s">
        <v>395</v>
      </c>
      <c r="AI5" s="139"/>
      <c r="AJ5" s="139">
        <f>INDEX(t_B4n4_P_Fixed[Offset],MATCH($B$6,t_B4n4_P[x],0),1)</f>
        <v>-98</v>
      </c>
      <c r="AK5" s="139">
        <v>30</v>
      </c>
      <c r="AL5" s="255" t="s">
        <v>394</v>
      </c>
      <c r="AO5" s="139"/>
      <c r="AP5" s="139">
        <f>INDEX(t_B4n4_P_Fixed[Offset],MATCH($B$8,t_B4n4_P[x],0),1)</f>
        <v>-83</v>
      </c>
      <c r="AQ5" s="139">
        <v>45</v>
      </c>
      <c r="AR5" s="275" t="s">
        <v>396</v>
      </c>
    </row>
    <row r="6" spans="1:45" ht="15.75" thickBot="1" x14ac:dyDescent="0.3">
      <c r="A6" s="139">
        <v>1</v>
      </c>
      <c r="B6" s="9">
        <v>30</v>
      </c>
      <c r="C6" s="9">
        <f>ROUNDUP(t_B4n4_P_Fixed[[#This Row],[Fixed]]-$B$3,0)</f>
        <v>-98</v>
      </c>
      <c r="D6" s="11">
        <f>t_B4n4_P[[#This Row],[x]]-E5</f>
        <v>3</v>
      </c>
      <c r="E6" s="138">
        <v>30</v>
      </c>
      <c r="F6" s="42">
        <f>MOD(INT(t_B4n4_P[[#This Row],[x]]/$B$1^INT(RIGHT(t_B4n4_P[[#Headers],[b3]],1))),$B$1)</f>
        <v>0</v>
      </c>
      <c r="G6" s="42">
        <f>MOD(INT(t_B4n4_P[[#This Row],[x]]/$B$1^INT(RIGHT(t_B4n4_P[[#Headers],[b2]],1))),$B$1)</f>
        <v>1</v>
      </c>
      <c r="H6" s="42">
        <f>MOD(INT(t_B4n4_P[[#This Row],[x]]/$B$1^INT(RIGHT(t_B4n4_P[[#Headers],[b1]],1))),$B$1)</f>
        <v>3</v>
      </c>
      <c r="I6" s="42">
        <f>MOD(INT(t_B4n4_P[[#This Row],[x]]/$B$1^INT(RIGHT(t_B4n4_P[[#Headers],[b0]],1))),$B$1)</f>
        <v>2</v>
      </c>
      <c r="J6" s="16"/>
      <c r="L6" s="34" t="s">
        <v>21</v>
      </c>
      <c r="M6" s="35" t="s">
        <v>5</v>
      </c>
      <c r="O6" s="8"/>
      <c r="P6" s="8"/>
      <c r="Q6" s="8"/>
      <c r="R6" s="8"/>
      <c r="S6" s="8"/>
      <c r="U6" s="139">
        <f>t_B4n4_P_AB1[[#This Row],[Offset]]-V5</f>
        <v>30</v>
      </c>
      <c r="V6" s="139">
        <f>INDEX(t_B4n4_P_Fixed[Offset],MATCH($B$10,t_B4n4_P[x],0),1)</f>
        <v>-71</v>
      </c>
      <c r="W6" s="139">
        <v>4</v>
      </c>
      <c r="X6" s="139">
        <v>57</v>
      </c>
      <c r="Y6" s="272" t="s">
        <v>398</v>
      </c>
      <c r="AB6" s="139">
        <f>t_B4n4_P_AB2[[#This Row],[Offset]]-AC5</f>
        <v>15</v>
      </c>
      <c r="AC6" s="139">
        <f>INDEX(t_B4n4_P_Fixed[Offset],MATCH($B$9,t_B4n4_P[x],0),1)</f>
        <v>-74</v>
      </c>
      <c r="AD6" s="139">
        <v>4</v>
      </c>
      <c r="AE6" s="139">
        <v>54</v>
      </c>
      <c r="AF6" s="273" t="s">
        <v>397</v>
      </c>
      <c r="AI6" s="139">
        <f>t_B4n4_P_S1[[#This Row],[Offset]]-AJ5</f>
        <v>90</v>
      </c>
      <c r="AJ6" s="6">
        <f>INDEX(t_B4n4_P_Fixed[Offset],MATCH($B$16,t_B4n4_P[x],0),1)</f>
        <v>-8</v>
      </c>
      <c r="AK6" s="6">
        <v>120</v>
      </c>
      <c r="AL6" s="295" t="s">
        <v>404</v>
      </c>
      <c r="AM6" s="25" t="s">
        <v>0</v>
      </c>
      <c r="AO6" s="139">
        <f>t_B4n4_P_S2[[#This Row],[Offset]]-AP5</f>
        <v>30</v>
      </c>
      <c r="AP6" s="6">
        <f>INDEX(t_B4n4_P_Fixed[Offset],MATCH($B$11,t_B4n4_P[x],0),1)</f>
        <v>-53</v>
      </c>
      <c r="AQ6" s="6">
        <v>75</v>
      </c>
      <c r="AR6" s="311" t="s">
        <v>399</v>
      </c>
      <c r="AS6" s="25" t="s">
        <v>0</v>
      </c>
    </row>
    <row r="7" spans="1:45" x14ac:dyDescent="0.25">
      <c r="A7" s="139">
        <v>2</v>
      </c>
      <c r="B7" s="9">
        <v>39</v>
      </c>
      <c r="C7" s="9">
        <f>ROUNDUP(t_B4n4_P_Fixed[[#This Row],[Fixed]]-$B$3,0)</f>
        <v>-89</v>
      </c>
      <c r="D7" s="200">
        <f>t_B4n4_P[[#This Row],[x]]-E6</f>
        <v>9</v>
      </c>
      <c r="E7" s="138">
        <v>39</v>
      </c>
      <c r="F7" s="44">
        <f>MOD(INT(t_B4n4_P[[#This Row],[x]]/$B$1^INT(RIGHT(t_B4n4_P[[#Headers],[b3]],1))),$B$1)</f>
        <v>0</v>
      </c>
      <c r="G7" s="44">
        <f>MOD(INT(t_B4n4_P[[#This Row],[x]]/$B$1^INT(RIGHT(t_B4n4_P[[#Headers],[b2]],1))),$B$1)</f>
        <v>2</v>
      </c>
      <c r="H7" s="44">
        <f>MOD(INT(t_B4n4_P[[#This Row],[x]]/$B$1^INT(RIGHT(t_B4n4_P[[#Headers],[b1]],1))),$B$1)</f>
        <v>1</v>
      </c>
      <c r="I7" s="44">
        <f>MOD(INT(t_B4n4_P[[#This Row],[x]]/$B$1^INT(RIGHT(t_B4n4_P[[#Headers],[b0]],1))),$B$1)</f>
        <v>3</v>
      </c>
      <c r="J7" s="16"/>
      <c r="L7" s="30" t="s">
        <v>14</v>
      </c>
      <c r="M7" s="31">
        <v>2</v>
      </c>
      <c r="O7" s="89" t="s">
        <v>33</v>
      </c>
      <c r="P7" s="107" t="s">
        <v>34</v>
      </c>
      <c r="Q7" s="8"/>
      <c r="R7" s="91" t="s">
        <v>36</v>
      </c>
      <c r="S7" s="96" t="s">
        <v>37</v>
      </c>
      <c r="U7" s="139">
        <f>t_B4n4_P_AB1[[#This Row],[Offset]]-V6</f>
        <v>21</v>
      </c>
      <c r="V7" s="139">
        <f>INDEX(t_B4n4_P_Fixed[Offset],MATCH($B$12,t_B4n4_P[x],0),1)</f>
        <v>-50</v>
      </c>
      <c r="W7" s="139">
        <v>5</v>
      </c>
      <c r="X7" s="139">
        <v>78</v>
      </c>
      <c r="Y7" s="272" t="s">
        <v>400</v>
      </c>
      <c r="AB7" s="139">
        <f>t_B4n4_P_AB2[[#This Row],[Offset]]-AC6</f>
        <v>45</v>
      </c>
      <c r="AC7" s="139">
        <f>INDEX(t_B4n4_P_Fixed[Offset],MATCH($B$13,t_B4n4_P[x],0),1)</f>
        <v>-29</v>
      </c>
      <c r="AD7" s="139">
        <v>5</v>
      </c>
      <c r="AE7" s="139">
        <v>99</v>
      </c>
      <c r="AF7" s="273" t="s">
        <v>401</v>
      </c>
      <c r="AI7" s="139">
        <f>t_B4n4_P_S1[[#This Row],[Offset]]-AJ6</f>
        <v>16</v>
      </c>
      <c r="AJ7" s="139">
        <f>INDEX(t_B4n4_P_Fixed[Offset],MATCH($B$17,t_B4n4_P[x],0),1)</f>
        <v>8</v>
      </c>
      <c r="AK7" s="139">
        <v>135</v>
      </c>
      <c r="AL7" s="255" t="s">
        <v>405</v>
      </c>
      <c r="AO7" s="139">
        <f>t_B4n4_P_S2[[#This Row],[Offset]]-AP6</f>
        <v>106</v>
      </c>
      <c r="AP7" s="139">
        <f>INDEX(t_B4n4_P_Fixed[Offset],MATCH($B$22,t_B4n4_P[x],0),1)</f>
        <v>53</v>
      </c>
      <c r="AQ7" s="139">
        <v>180</v>
      </c>
      <c r="AR7" s="275" t="s">
        <v>410</v>
      </c>
    </row>
    <row r="8" spans="1:45" ht="15.75" thickBot="1" x14ac:dyDescent="0.3">
      <c r="A8" s="139">
        <v>3</v>
      </c>
      <c r="B8" s="9">
        <v>45</v>
      </c>
      <c r="C8" s="9">
        <f>ROUNDUP(t_B4n4_P_Fixed[[#This Row],[Fixed]]-$B$3,0)</f>
        <v>-83</v>
      </c>
      <c r="D8" s="11">
        <f>t_B4n4_P[[#This Row],[x]]-E7</f>
        <v>6</v>
      </c>
      <c r="E8" s="138">
        <v>45</v>
      </c>
      <c r="F8" s="56">
        <f>MOD(INT(t_B4n4_P[[#This Row],[x]]/$B$1^INT(RIGHT(t_B4n4_P[[#Headers],[b3]],1))),$B$1)</f>
        <v>0</v>
      </c>
      <c r="G8" s="56">
        <f>MOD(INT(t_B4n4_P[[#This Row],[x]]/$B$1^INT(RIGHT(t_B4n4_P[[#Headers],[b2]],1))),$B$1)</f>
        <v>2</v>
      </c>
      <c r="H8" s="56">
        <f>MOD(INT(t_B4n4_P[[#This Row],[x]]/$B$1^INT(RIGHT(t_B4n4_P[[#Headers],[b1]],1))),$B$1)</f>
        <v>3</v>
      </c>
      <c r="I8" s="56">
        <f>MOD(INT(t_B4n4_P[[#This Row],[x]]/$B$1^INT(RIGHT(t_B4n4_P[[#Headers],[b0]],1))),$B$1)</f>
        <v>1</v>
      </c>
      <c r="J8" s="16"/>
      <c r="L8" s="36" t="s">
        <v>22</v>
      </c>
      <c r="M8" s="37">
        <v>2</v>
      </c>
      <c r="O8" s="90" t="s">
        <v>35</v>
      </c>
      <c r="P8" s="8"/>
      <c r="Q8" s="97" t="s">
        <v>38</v>
      </c>
      <c r="R8" s="8"/>
      <c r="S8" s="8"/>
      <c r="U8" s="139">
        <f>t_B4n4_P_AB1[[#This Row],[Offset]]-V7</f>
        <v>30</v>
      </c>
      <c r="V8" s="6">
        <f>INDEX(t_B4n4_P_Fixed[Offset],MATCH($B$14,t_B4n4_P[x],0),1)</f>
        <v>-20</v>
      </c>
      <c r="W8" s="6">
        <v>1</v>
      </c>
      <c r="X8" s="6">
        <v>108</v>
      </c>
      <c r="Y8" s="301" t="s">
        <v>402</v>
      </c>
      <c r="Z8" s="25" t="s">
        <v>0</v>
      </c>
      <c r="AB8" s="139">
        <f>t_B4n4_P_AB2[[#This Row],[Offset]]-AC7</f>
        <v>15</v>
      </c>
      <c r="AC8" s="6">
        <f>INDEX(t_B4n4_P_Fixed[Offset],MATCH($B$15,t_B4n4_P[x],0),1)</f>
        <v>-14</v>
      </c>
      <c r="AD8" s="6">
        <v>1</v>
      </c>
      <c r="AE8" s="6">
        <v>114</v>
      </c>
      <c r="AF8" s="302" t="s">
        <v>403</v>
      </c>
      <c r="AG8" s="25" t="s">
        <v>0</v>
      </c>
      <c r="AI8" s="139">
        <f>t_B4n4_P_S1[[#This Row],[Offset]]-AJ7</f>
        <v>90</v>
      </c>
      <c r="AJ8" s="139">
        <f>INDEX(t_B4n4_P_Fixed[Offset],MATCH($B$27,t_B4n4_P[x],0),1)</f>
        <v>98</v>
      </c>
      <c r="AK8" s="139">
        <v>225</v>
      </c>
      <c r="AL8" s="255" t="s">
        <v>415</v>
      </c>
      <c r="AO8" s="139">
        <f>t_B4n4_P_S2[[#This Row],[Offset]]-AP7</f>
        <v>30</v>
      </c>
      <c r="AP8" s="139">
        <f>INDEX(t_B4n4_P_Fixed[Offset],MATCH($B$25,t_B4n4_P[x],0),1)</f>
        <v>83</v>
      </c>
      <c r="AQ8" s="139">
        <v>210</v>
      </c>
      <c r="AR8" s="275" t="s">
        <v>413</v>
      </c>
    </row>
    <row r="9" spans="1:45" x14ac:dyDescent="0.25">
      <c r="A9" s="139">
        <v>4</v>
      </c>
      <c r="B9" s="9">
        <v>54</v>
      </c>
      <c r="C9" s="9">
        <f>ROUNDUP(t_B4n4_P_Fixed[[#This Row],[Fixed]]-$B$3,0)</f>
        <v>-74</v>
      </c>
      <c r="D9" s="201">
        <f>t_B4n4_P[[#This Row],[x]]-E8</f>
        <v>9</v>
      </c>
      <c r="E9" s="2">
        <v>54</v>
      </c>
      <c r="F9" s="153">
        <f>MOD(INT(t_B4n4_P[[#This Row],[x]]/$B$1^INT(RIGHT(t_B4n4_P[[#Headers],[b3]],1))),$B$1)</f>
        <v>0</v>
      </c>
      <c r="G9" s="153">
        <f>MOD(INT(t_B4n4_P[[#This Row],[x]]/$B$1^INT(RIGHT(t_B4n4_P[[#Headers],[b2]],1))),$B$1)</f>
        <v>3</v>
      </c>
      <c r="H9" s="153">
        <f>MOD(INT(t_B4n4_P[[#This Row],[x]]/$B$1^INT(RIGHT(t_B4n4_P[[#Headers],[b1]],1))),$B$1)</f>
        <v>1</v>
      </c>
      <c r="I9" s="153">
        <f>MOD(INT(t_B4n4_P[[#This Row],[x]]/$B$1^INT(RIGHT(t_B4n4_P[[#Headers],[b0]],1))),$B$1)</f>
        <v>2</v>
      </c>
      <c r="J9" s="16"/>
      <c r="L9" s="113" t="s">
        <v>15</v>
      </c>
      <c r="M9" s="114">
        <f>SUM(M7:M8)</f>
        <v>4</v>
      </c>
      <c r="O9" s="8"/>
      <c r="P9" s="8"/>
      <c r="Q9" s="8"/>
      <c r="R9" s="8"/>
      <c r="S9" s="8"/>
      <c r="U9" s="139">
        <f>t_B4n4_P_AB1[[#This Row],[Offset]]-V8</f>
        <v>40</v>
      </c>
      <c r="V9" s="139">
        <f>INDEX(t_B4n4_P_Fixed[Offset],MATCH($B$19,t_B4n4_P[x],0),1)</f>
        <v>20</v>
      </c>
      <c r="W9" s="139">
        <v>6</v>
      </c>
      <c r="X9" s="139">
        <v>147</v>
      </c>
      <c r="Y9" s="272" t="s">
        <v>407</v>
      </c>
      <c r="AB9" s="139">
        <f>t_B4n4_P_AB2[[#This Row],[Offset]]-AC8</f>
        <v>28</v>
      </c>
      <c r="AC9" s="139">
        <f>INDEX(t_B4n4_P_Fixed[Offset],MATCH($B$18,t_B4n4_P[x],0),1)</f>
        <v>14</v>
      </c>
      <c r="AD9" s="139">
        <v>6</v>
      </c>
      <c r="AE9" s="139">
        <v>141</v>
      </c>
      <c r="AF9" s="273" t="s">
        <v>406</v>
      </c>
    </row>
    <row r="10" spans="1:45" ht="15.75" thickBot="1" x14ac:dyDescent="0.3">
      <c r="A10" s="139">
        <v>5</v>
      </c>
      <c r="B10" s="9">
        <v>57</v>
      </c>
      <c r="C10" s="9">
        <f>ROUNDUP(t_B4n4_P_Fixed[[#This Row],[Fixed]]-$B$3,0)</f>
        <v>-71</v>
      </c>
      <c r="D10" s="200">
        <f>t_B4n4_P[[#This Row],[x]]-E9</f>
        <v>3</v>
      </c>
      <c r="E10" s="138">
        <v>57</v>
      </c>
      <c r="F10" s="75">
        <f>MOD(INT(t_B4n4_P[[#This Row],[x]]/$B$1^INT(RIGHT(t_B4n4_P[[#Headers],[b3]],1))),$B$1)</f>
        <v>0</v>
      </c>
      <c r="G10" s="75">
        <f>MOD(INT(t_B4n4_P[[#This Row],[x]]/$B$1^INT(RIGHT(t_B4n4_P[[#Headers],[b2]],1))),$B$1)</f>
        <v>3</v>
      </c>
      <c r="H10" s="75">
        <f>MOD(INT(t_B4n4_P[[#This Row],[x]]/$B$1^INT(RIGHT(t_B4n4_P[[#Headers],[b1]],1))),$B$1)</f>
        <v>2</v>
      </c>
      <c r="I10" s="75">
        <f>MOD(INT(t_B4n4_P[[#This Row],[x]]/$B$1^INT(RIGHT(t_B4n4_P[[#Headers],[b0]],1))),$B$1)</f>
        <v>1</v>
      </c>
      <c r="J10" s="16"/>
      <c r="L10" s="115" t="s">
        <v>16</v>
      </c>
      <c r="M10" s="116">
        <v>6</v>
      </c>
      <c r="O10" s="8"/>
      <c r="P10" s="8"/>
      <c r="Q10" s="8"/>
      <c r="R10" s="8"/>
      <c r="S10" s="8"/>
      <c r="U10" s="139">
        <f>t_B4n4_P_AB1[[#This Row],[Offset]]-V9</f>
        <v>30</v>
      </c>
      <c r="V10" s="139">
        <f>INDEX(t_B4n4_P_Fixed[Offset],MATCH($B$21,t_B4n4_P[x],0),1)</f>
        <v>50</v>
      </c>
      <c r="W10" s="139">
        <v>2</v>
      </c>
      <c r="X10" s="139">
        <v>177</v>
      </c>
      <c r="Y10" s="271" t="s">
        <v>409</v>
      </c>
      <c r="AB10" s="139">
        <f>t_B4n4_P_AB2[[#This Row],[Offset]]-AC9</f>
        <v>15</v>
      </c>
      <c r="AC10" s="139">
        <f>INDEX(t_B4n4_P_Fixed[Offset],MATCH($B$20,t_B4n4_P[x],0),1)</f>
        <v>29</v>
      </c>
      <c r="AD10" s="139">
        <v>2</v>
      </c>
      <c r="AE10" s="139">
        <v>156</v>
      </c>
      <c r="AF10" s="274" t="s">
        <v>408</v>
      </c>
    </row>
    <row r="11" spans="1:45" x14ac:dyDescent="0.25">
      <c r="A11" s="139">
        <v>6</v>
      </c>
      <c r="B11" s="9">
        <v>75</v>
      </c>
      <c r="C11" s="9">
        <f>ROUNDUP(t_B4n4_P_Fixed[[#This Row],[Fixed]]-$B$3,0)</f>
        <v>-53</v>
      </c>
      <c r="D11" s="11">
        <f>t_B4n4_P[[#This Row],[x]]-E10</f>
        <v>18</v>
      </c>
      <c r="E11" s="138">
        <v>75</v>
      </c>
      <c r="F11" s="56">
        <f>MOD(INT(t_B4n4_P[[#This Row],[x]]/$B$1^INT(RIGHT(t_B4n4_P[[#Headers],[b3]],1))),$B$1)</f>
        <v>1</v>
      </c>
      <c r="G11" s="56">
        <f>MOD(INT(t_B4n4_P[[#This Row],[x]]/$B$1^INT(RIGHT(t_B4n4_P[[#Headers],[b2]],1))),$B$1)</f>
        <v>0</v>
      </c>
      <c r="H11" s="56">
        <f>MOD(INT(t_B4n4_P[[#This Row],[x]]/$B$1^INT(RIGHT(t_B4n4_P[[#Headers],[b1]],1))),$B$1)</f>
        <v>2</v>
      </c>
      <c r="I11" s="56">
        <f>MOD(INT(t_B4n4_P[[#This Row],[x]]/$B$1^INT(RIGHT(t_B4n4_P[[#Headers],[b0]],1))),$B$1)</f>
        <v>3</v>
      </c>
      <c r="J11" s="16"/>
      <c r="O11" s="8"/>
      <c r="P11" s="8"/>
      <c r="Q11" s="8"/>
      <c r="R11" s="8"/>
      <c r="S11" s="8"/>
      <c r="U11" s="139">
        <f>t_B4n4_P_AB1[[#This Row],[Offset]]-V10</f>
        <v>21</v>
      </c>
      <c r="V11" s="139">
        <f>INDEX(t_B4n4_P_Fixed[Offset],MATCH($B$23,t_B4n4_P[x],0),1)</f>
        <v>71</v>
      </c>
      <c r="W11" s="139">
        <v>3</v>
      </c>
      <c r="X11" s="139">
        <v>198</v>
      </c>
      <c r="Y11" s="271" t="s">
        <v>411</v>
      </c>
      <c r="AB11" s="139">
        <f>t_B4n4_P_AB2[[#This Row],[Offset]]-AC10</f>
        <v>45</v>
      </c>
      <c r="AC11" s="139">
        <f>INDEX(t_B4n4_P_Fixed[Offset],MATCH($B$24,t_B4n4_P[x],0),1)</f>
        <v>74</v>
      </c>
      <c r="AD11" s="139">
        <v>3</v>
      </c>
      <c r="AE11" s="139">
        <v>201</v>
      </c>
      <c r="AF11" s="274" t="s">
        <v>412</v>
      </c>
    </row>
    <row r="12" spans="1:45" x14ac:dyDescent="0.25">
      <c r="A12" s="139">
        <v>7</v>
      </c>
      <c r="B12" s="9">
        <v>78</v>
      </c>
      <c r="C12" s="9">
        <f>ROUNDUP(t_B4n4_P_Fixed[[#This Row],[Fixed]]-$B$3,0)</f>
        <v>-50</v>
      </c>
      <c r="D12" s="200">
        <f>t_B4n4_P[[#This Row],[x]]-E11</f>
        <v>3</v>
      </c>
      <c r="E12" s="2">
        <v>78</v>
      </c>
      <c r="F12" s="150">
        <f>MOD(INT(t_B4n4_P[[#This Row],[x]]/$B$1^INT(RIGHT(t_B4n4_P[[#Headers],[b3]],1))),$B$1)</f>
        <v>1</v>
      </c>
      <c r="G12" s="150">
        <f>MOD(INT(t_B4n4_P[[#This Row],[x]]/$B$1^INT(RIGHT(t_B4n4_P[[#Headers],[b2]],1))),$B$1)</f>
        <v>0</v>
      </c>
      <c r="H12" s="150">
        <f>MOD(INT(t_B4n4_P[[#This Row],[x]]/$B$1^INT(RIGHT(t_B4n4_P[[#Headers],[b1]],1))),$B$1)</f>
        <v>3</v>
      </c>
      <c r="I12" s="150">
        <f>MOD(INT(t_B4n4_P[[#This Row],[x]]/$B$1^INT(RIGHT(t_B4n4_P[[#Headers],[b0]],1))),$B$1)</f>
        <v>2</v>
      </c>
      <c r="J12" s="16"/>
      <c r="U12" s="139">
        <f>t_B4n4_P_AB1[[#This Row],[Offset]]-V11</f>
        <v>30</v>
      </c>
      <c r="V12" s="139">
        <f>INDEX(t_B4n4_P_Fixed[Offset],MATCH($B$28,t_B4n4_P[x],0),1)</f>
        <v>101</v>
      </c>
      <c r="W12" s="139">
        <v>7</v>
      </c>
      <c r="X12" s="139">
        <v>228</v>
      </c>
      <c r="Y12" s="272" t="s">
        <v>416</v>
      </c>
      <c r="AB12" s="139">
        <f>t_B4n4_P_AB2[[#This Row],[Offset]]-AC11</f>
        <v>15</v>
      </c>
      <c r="AC12" s="139">
        <f>INDEX(t_B4n4_P_Fixed[Offset],MATCH($B$26,t_B4n4_P[x],0),1)</f>
        <v>89</v>
      </c>
      <c r="AD12" s="139">
        <v>7</v>
      </c>
      <c r="AE12" s="139">
        <v>216</v>
      </c>
      <c r="AF12" s="273" t="s">
        <v>414</v>
      </c>
    </row>
    <row r="13" spans="1:45" x14ac:dyDescent="0.25">
      <c r="A13" s="139">
        <v>8</v>
      </c>
      <c r="B13" s="9">
        <v>99</v>
      </c>
      <c r="C13" s="9">
        <f>ROUNDUP(t_B4n4_P_Fixed[[#This Row],[Fixed]]-$B$3,0)</f>
        <v>-29</v>
      </c>
      <c r="D13" s="201">
        <f>t_B4n4_P[[#This Row],[x]]-E12</f>
        <v>21</v>
      </c>
      <c r="E13" s="2">
        <v>99</v>
      </c>
      <c r="F13" s="54">
        <f>MOD(INT(t_B4n4_P[[#This Row],[x]]/$B$1^INT(RIGHT(t_B4n4_P[[#Headers],[b3]],1))),$B$1)</f>
        <v>1</v>
      </c>
      <c r="G13" s="54">
        <f>MOD(INT(t_B4n4_P[[#This Row],[x]]/$B$1^INT(RIGHT(t_B4n4_P[[#Headers],[b2]],1))),$B$1)</f>
        <v>2</v>
      </c>
      <c r="H13" s="54">
        <f>MOD(INT(t_B4n4_P[[#This Row],[x]]/$B$1^INT(RIGHT(t_B4n4_P[[#Headers],[b1]],1))),$B$1)</f>
        <v>0</v>
      </c>
      <c r="I13" s="54">
        <f>MOD(INT(t_B4n4_P[[#This Row],[x]]/$B$1^INT(RIGHT(t_B4n4_P[[#Headers],[b0]],1))),$B$1)</f>
        <v>3</v>
      </c>
      <c r="J13" s="16"/>
    </row>
    <row r="14" spans="1:45" x14ac:dyDescent="0.25">
      <c r="A14" s="139">
        <v>9</v>
      </c>
      <c r="B14" s="9">
        <v>108</v>
      </c>
      <c r="C14" s="9">
        <f>ROUNDUP(t_B4n4_P_Fixed[[#This Row],[Fixed]]-$B$3,0)</f>
        <v>-20</v>
      </c>
      <c r="D14" s="200">
        <f>t_B4n4_P[[#This Row],[x]]-E13</f>
        <v>9</v>
      </c>
      <c r="E14" s="2">
        <v>108</v>
      </c>
      <c r="F14" s="148">
        <f>MOD(INT(t_B4n4_P[[#This Row],[x]]/$B$1^INT(RIGHT(t_B4n4_P[[#Headers],[b3]],1))),$B$1)</f>
        <v>1</v>
      </c>
      <c r="G14" s="148">
        <f>MOD(INT(t_B4n4_P[[#This Row],[x]]/$B$1^INT(RIGHT(t_B4n4_P[[#Headers],[b2]],1))),$B$1)</f>
        <v>2</v>
      </c>
      <c r="H14" s="148">
        <f>MOD(INT(t_B4n4_P[[#This Row],[x]]/$B$1^INT(RIGHT(t_B4n4_P[[#Headers],[b1]],1))),$B$1)</f>
        <v>3</v>
      </c>
      <c r="I14" s="148">
        <f>MOD(INT(t_B4n4_P[[#This Row],[x]]/$B$1^INT(RIGHT(t_B4n4_P[[#Headers],[b0]],1))),$B$1)</f>
        <v>0</v>
      </c>
      <c r="J14" s="16"/>
    </row>
    <row r="15" spans="1:45" x14ac:dyDescent="0.25">
      <c r="A15" s="139">
        <v>10</v>
      </c>
      <c r="B15" s="9">
        <v>114</v>
      </c>
      <c r="C15" s="9">
        <f>ROUNDUP(t_B4n4_P_Fixed[[#This Row],[Fixed]]-$B$3,0)</f>
        <v>-14</v>
      </c>
      <c r="D15" s="200">
        <f>t_B4n4_P[[#This Row],[x]]-E14</f>
        <v>6</v>
      </c>
      <c r="E15" s="2">
        <v>114</v>
      </c>
      <c r="F15" s="152">
        <f>MOD(INT(t_B4n4_P[[#This Row],[x]]/$B$1^INT(RIGHT(t_B4n4_P[[#Headers],[b3]],1))),$B$1)</f>
        <v>1</v>
      </c>
      <c r="G15" s="152">
        <f>MOD(INT(t_B4n4_P[[#This Row],[x]]/$B$1^INT(RIGHT(t_B4n4_P[[#Headers],[b2]],1))),$B$1)</f>
        <v>3</v>
      </c>
      <c r="H15" s="152">
        <f>MOD(INT(t_B4n4_P[[#This Row],[x]]/$B$1^INT(RIGHT(t_B4n4_P[[#Headers],[b1]],1))),$B$1)</f>
        <v>0</v>
      </c>
      <c r="I15" s="152">
        <f>MOD(INT(t_B4n4_P[[#This Row],[x]]/$B$1^INT(RIGHT(t_B4n4_P[[#Headers],[b0]],1))),$B$1)</f>
        <v>2</v>
      </c>
      <c r="J15" s="16"/>
    </row>
    <row r="16" spans="1:45" ht="15.75" thickBot="1" x14ac:dyDescent="0.3">
      <c r="A16" s="6">
        <v>11</v>
      </c>
      <c r="B16" s="6">
        <v>120</v>
      </c>
      <c r="C16" s="6">
        <f>ROUNDUP(t_B4n4_P_Fixed[[#This Row],[Fixed]]-$B$3,0)</f>
        <v>-8</v>
      </c>
      <c r="D16" s="141">
        <f>t_B4n4_P[[#This Row],[x]]-E15</f>
        <v>6</v>
      </c>
      <c r="E16" s="140">
        <v>120</v>
      </c>
      <c r="F16" s="151">
        <f>MOD(INT(t_B4n4_P[[#This Row],[x]]/$B$1^INT(RIGHT(t_B4n4_P[[#Headers],[b3]],1))),$B$1)</f>
        <v>1</v>
      </c>
      <c r="G16" s="151">
        <f>MOD(INT(t_B4n4_P[[#This Row],[x]]/$B$1^INT(RIGHT(t_B4n4_P[[#Headers],[b2]],1))),$B$1)</f>
        <v>3</v>
      </c>
      <c r="H16" s="151">
        <f>MOD(INT(t_B4n4_P[[#This Row],[x]]/$B$1^INT(RIGHT(t_B4n4_P[[#Headers],[b1]],1))),$B$1)</f>
        <v>2</v>
      </c>
      <c r="I16" s="151">
        <f>MOD(INT(t_B4n4_P[[#This Row],[x]]/$B$1^INT(RIGHT(t_B4n4_P[[#Headers],[b0]],1))),$B$1)</f>
        <v>0</v>
      </c>
      <c r="J16" s="25" t="s">
        <v>0</v>
      </c>
    </row>
    <row r="17" spans="1:10" x14ac:dyDescent="0.25">
      <c r="A17" s="139">
        <v>12</v>
      </c>
      <c r="B17" s="9">
        <v>135</v>
      </c>
      <c r="C17" s="9">
        <f>ROUNDUP(t_B4n4_P_Fixed[[#This Row],[Fixed]]-$B$3,0)</f>
        <v>8</v>
      </c>
      <c r="D17" s="11">
        <f>t_B4n4_P[[#This Row],[x]]-E16</f>
        <v>15</v>
      </c>
      <c r="E17" s="2">
        <v>135</v>
      </c>
      <c r="F17" s="42">
        <f>MOD(INT(t_B4n4_P[[#This Row],[x]]/$B$1^INT(RIGHT(t_B4n4_P[[#Headers],[b3]],1))),$B$1)</f>
        <v>2</v>
      </c>
      <c r="G17" s="42">
        <f>MOD(INT(t_B4n4_P[[#This Row],[x]]/$B$1^INT(RIGHT(t_B4n4_P[[#Headers],[b2]],1))),$B$1)</f>
        <v>0</v>
      </c>
      <c r="H17" s="42">
        <f>MOD(INT(t_B4n4_P[[#This Row],[x]]/$B$1^INT(RIGHT(t_B4n4_P[[#Headers],[b1]],1))),$B$1)</f>
        <v>1</v>
      </c>
      <c r="I17" s="42">
        <f>MOD(INT(t_B4n4_P[[#This Row],[x]]/$B$1^INT(RIGHT(t_B4n4_P[[#Headers],[b0]],1))),$B$1)</f>
        <v>3</v>
      </c>
      <c r="J17" s="16"/>
    </row>
    <row r="18" spans="1:10" x14ac:dyDescent="0.25">
      <c r="A18" s="139">
        <v>13</v>
      </c>
      <c r="B18" s="9">
        <v>141</v>
      </c>
      <c r="C18" s="9">
        <f>ROUNDUP(t_B4n4_P_Fixed[[#This Row],[Fixed]]-$B$3,0)</f>
        <v>14</v>
      </c>
      <c r="D18" s="201">
        <f>t_B4n4_P[[#This Row],[x]]-E17</f>
        <v>6</v>
      </c>
      <c r="E18" s="138">
        <v>141</v>
      </c>
      <c r="F18" s="54">
        <f>MOD(INT(t_B4n4_P[[#This Row],[x]]/$B$1^INT(RIGHT(t_B4n4_P[[#Headers],[b3]],1))),$B$1)</f>
        <v>2</v>
      </c>
      <c r="G18" s="54">
        <f>MOD(INT(t_B4n4_P[[#This Row],[x]]/$B$1^INT(RIGHT(t_B4n4_P[[#Headers],[b2]],1))),$B$1)</f>
        <v>0</v>
      </c>
      <c r="H18" s="54">
        <f>MOD(INT(t_B4n4_P[[#This Row],[x]]/$B$1^INT(RIGHT(t_B4n4_P[[#Headers],[b1]],1))),$B$1)</f>
        <v>3</v>
      </c>
      <c r="I18" s="54">
        <f>MOD(INT(t_B4n4_P[[#This Row],[x]]/$B$1^INT(RIGHT(t_B4n4_P[[#Headers],[b0]],1))),$B$1)</f>
        <v>1</v>
      </c>
      <c r="J18" s="16"/>
    </row>
    <row r="19" spans="1:10" x14ac:dyDescent="0.25">
      <c r="A19" s="139">
        <v>14</v>
      </c>
      <c r="B19" s="9">
        <v>147</v>
      </c>
      <c r="C19" s="9">
        <f>ROUNDUP(t_B4n4_P_Fixed[[#This Row],[Fixed]]-$B$3,0)</f>
        <v>20</v>
      </c>
      <c r="D19" s="200">
        <f>t_B4n4_P[[#This Row],[x]]-E18</f>
        <v>6</v>
      </c>
      <c r="E19" s="138">
        <v>147</v>
      </c>
      <c r="F19" s="150">
        <f>MOD(INT(t_B4n4_P[[#This Row],[x]]/$B$1^INT(RIGHT(t_B4n4_P[[#Headers],[b3]],1))),$B$1)</f>
        <v>2</v>
      </c>
      <c r="G19" s="150">
        <f>MOD(INT(t_B4n4_P[[#This Row],[x]]/$B$1^INT(RIGHT(t_B4n4_P[[#Headers],[b2]],1))),$B$1)</f>
        <v>1</v>
      </c>
      <c r="H19" s="150">
        <f>MOD(INT(t_B4n4_P[[#This Row],[x]]/$B$1^INT(RIGHT(t_B4n4_P[[#Headers],[b1]],1))),$B$1)</f>
        <v>0</v>
      </c>
      <c r="I19" s="150">
        <f>MOD(INT(t_B4n4_P[[#This Row],[x]]/$B$1^INT(RIGHT(t_B4n4_P[[#Headers],[b0]],1))),$B$1)</f>
        <v>3</v>
      </c>
      <c r="J19" s="16"/>
    </row>
    <row r="20" spans="1:10" x14ac:dyDescent="0.25">
      <c r="A20" s="139">
        <v>15</v>
      </c>
      <c r="B20" s="9">
        <v>156</v>
      </c>
      <c r="C20" s="9">
        <f>ROUNDUP(t_B4n4_P_Fixed[[#This Row],[Fixed]]-$B$3,0)</f>
        <v>29</v>
      </c>
      <c r="D20" s="200">
        <f>t_B4n4_P[[#This Row],[x]]-E19</f>
        <v>9</v>
      </c>
      <c r="E20" s="138">
        <v>156</v>
      </c>
      <c r="F20" s="44">
        <f>MOD(INT(t_B4n4_P[[#This Row],[x]]/$B$1^INT(RIGHT(t_B4n4_P[[#Headers],[b3]],1))),$B$1)</f>
        <v>2</v>
      </c>
      <c r="G20" s="44">
        <f>MOD(INT(t_B4n4_P[[#This Row],[x]]/$B$1^INT(RIGHT(t_B4n4_P[[#Headers],[b2]],1))),$B$1)</f>
        <v>1</v>
      </c>
      <c r="H20" s="44">
        <f>MOD(INT(t_B4n4_P[[#This Row],[x]]/$B$1^INT(RIGHT(t_B4n4_P[[#Headers],[b1]],1))),$B$1)</f>
        <v>3</v>
      </c>
      <c r="I20" s="44">
        <f>MOD(INT(t_B4n4_P[[#This Row],[x]]/$B$1^INT(RIGHT(t_B4n4_P[[#Headers],[b0]],1))),$B$1)</f>
        <v>0</v>
      </c>
      <c r="J20" s="16"/>
    </row>
    <row r="21" spans="1:10" x14ac:dyDescent="0.25">
      <c r="A21" s="139">
        <v>16</v>
      </c>
      <c r="B21" s="9">
        <v>177</v>
      </c>
      <c r="C21" s="9">
        <f>ROUNDUP(t_B4n4_P_Fixed[[#This Row],[Fixed]]-$B$3,0)</f>
        <v>50</v>
      </c>
      <c r="D21" s="11">
        <f>t_B4n4_P[[#This Row],[x]]-E20</f>
        <v>21</v>
      </c>
      <c r="E21" s="138">
        <v>177</v>
      </c>
      <c r="F21" s="148">
        <f>MOD(INT(t_B4n4_P[[#This Row],[x]]/$B$1^INT(RIGHT(t_B4n4_P[[#Headers],[b3]],1))),$B$1)</f>
        <v>2</v>
      </c>
      <c r="G21" s="148">
        <f>MOD(INT(t_B4n4_P[[#This Row],[x]]/$B$1^INT(RIGHT(t_B4n4_P[[#Headers],[b2]],1))),$B$1)</f>
        <v>3</v>
      </c>
      <c r="H21" s="148">
        <f>MOD(INT(t_B4n4_P[[#This Row],[x]]/$B$1^INT(RIGHT(t_B4n4_P[[#Headers],[b1]],1))),$B$1)</f>
        <v>0</v>
      </c>
      <c r="I21" s="148">
        <f>MOD(INT(t_B4n4_P[[#This Row],[x]]/$B$1^INT(RIGHT(t_B4n4_P[[#Headers],[b0]],1))),$B$1)</f>
        <v>1</v>
      </c>
      <c r="J21" s="16"/>
    </row>
    <row r="22" spans="1:10" x14ac:dyDescent="0.25">
      <c r="A22" s="139">
        <v>17</v>
      </c>
      <c r="B22" s="9">
        <v>180</v>
      </c>
      <c r="C22" s="9">
        <f>ROUNDUP(t_B4n4_P_Fixed[[#This Row],[Fixed]]-$B$3,0)</f>
        <v>53</v>
      </c>
      <c r="D22" s="11">
        <f>t_B4n4_P[[#This Row],[x]]-E21</f>
        <v>3</v>
      </c>
      <c r="E22" s="138">
        <v>180</v>
      </c>
      <c r="F22" s="56">
        <f>MOD(INT(t_B4n4_P[[#This Row],[x]]/$B$1^INT(RIGHT(t_B4n4_P[[#Headers],[b3]],1))),$B$1)</f>
        <v>2</v>
      </c>
      <c r="G22" s="56">
        <f>MOD(INT(t_B4n4_P[[#This Row],[x]]/$B$1^INT(RIGHT(t_B4n4_P[[#Headers],[b2]],1))),$B$1)</f>
        <v>3</v>
      </c>
      <c r="H22" s="56">
        <f>MOD(INT(t_B4n4_P[[#This Row],[x]]/$B$1^INT(RIGHT(t_B4n4_P[[#Headers],[b1]],1))),$B$1)</f>
        <v>1</v>
      </c>
      <c r="I22" s="56">
        <f>MOD(INT(t_B4n4_P[[#This Row],[x]]/$B$1^INT(RIGHT(t_B4n4_P[[#Headers],[b0]],1))),$B$1)</f>
        <v>0</v>
      </c>
      <c r="J22" s="16"/>
    </row>
    <row r="23" spans="1:10" x14ac:dyDescent="0.25">
      <c r="A23" s="139">
        <v>18</v>
      </c>
      <c r="B23" s="9">
        <v>198</v>
      </c>
      <c r="C23" s="9">
        <f>ROUNDUP(t_B4n4_P_Fixed[[#This Row],[Fixed]]-$B$3,0)</f>
        <v>71</v>
      </c>
      <c r="D23" s="11">
        <f>t_B4n4_P[[#This Row],[x]]-E22</f>
        <v>18</v>
      </c>
      <c r="E23" s="2">
        <v>198</v>
      </c>
      <c r="F23" s="149">
        <f>MOD(INT(t_B4n4_P[[#This Row],[x]]/$B$1^INT(RIGHT(t_B4n4_P[[#Headers],[b3]],1))),$B$1)</f>
        <v>3</v>
      </c>
      <c r="G23" s="149">
        <f>MOD(INT(t_B4n4_P[[#This Row],[x]]/$B$1^INT(RIGHT(t_B4n4_P[[#Headers],[b2]],1))),$B$1)</f>
        <v>0</v>
      </c>
      <c r="H23" s="149">
        <f>MOD(INT(t_B4n4_P[[#This Row],[x]]/$B$1^INT(RIGHT(t_B4n4_P[[#Headers],[b1]],1))),$B$1)</f>
        <v>1</v>
      </c>
      <c r="I23" s="149">
        <f>MOD(INT(t_B4n4_P[[#This Row],[x]]/$B$1^INT(RIGHT(t_B4n4_P[[#Headers],[b0]],1))),$B$1)</f>
        <v>2</v>
      </c>
      <c r="J23" s="16"/>
    </row>
    <row r="24" spans="1:10" x14ac:dyDescent="0.25">
      <c r="A24" s="139">
        <v>19</v>
      </c>
      <c r="B24" s="9">
        <v>201</v>
      </c>
      <c r="C24" s="9">
        <f>ROUNDUP(t_B4n4_P_Fixed[[#This Row],[Fixed]]-$B$3,0)</f>
        <v>74</v>
      </c>
      <c r="D24" s="200">
        <f>t_B4n4_P[[#This Row],[x]]-E23</f>
        <v>3</v>
      </c>
      <c r="E24" s="2">
        <v>201</v>
      </c>
      <c r="F24" s="152">
        <f>MOD(INT(t_B4n4_P[[#This Row],[x]]/$B$1^INT(RIGHT(t_B4n4_P[[#Headers],[b3]],1))),$B$1)</f>
        <v>3</v>
      </c>
      <c r="G24" s="152">
        <f>MOD(INT(t_B4n4_P[[#This Row],[x]]/$B$1^INT(RIGHT(t_B4n4_P[[#Headers],[b2]],1))),$B$1)</f>
        <v>0</v>
      </c>
      <c r="H24" s="152">
        <f>MOD(INT(t_B4n4_P[[#This Row],[x]]/$B$1^INT(RIGHT(t_B4n4_P[[#Headers],[b1]],1))),$B$1)</f>
        <v>2</v>
      </c>
      <c r="I24" s="152">
        <f>MOD(INT(t_B4n4_P[[#This Row],[x]]/$B$1^INT(RIGHT(t_B4n4_P[[#Headers],[b0]],1))),$B$1)</f>
        <v>1</v>
      </c>
      <c r="J24" s="16"/>
    </row>
    <row r="25" spans="1:10" x14ac:dyDescent="0.25">
      <c r="A25" s="139">
        <v>20</v>
      </c>
      <c r="B25" s="9">
        <v>210</v>
      </c>
      <c r="C25" s="9">
        <f>ROUNDUP(t_B4n4_P_Fixed[[#This Row],[Fixed]]-$B$3,0)</f>
        <v>83</v>
      </c>
      <c r="D25" s="11">
        <f>t_B4n4_P[[#This Row],[x]]-E24</f>
        <v>9</v>
      </c>
      <c r="E25" s="2">
        <v>210</v>
      </c>
      <c r="F25" s="56">
        <f>MOD(INT(t_B4n4_P[[#This Row],[x]]/$B$1^INT(RIGHT(t_B4n4_P[[#Headers],[b3]],1))),$B$1)</f>
        <v>3</v>
      </c>
      <c r="G25" s="56">
        <f>MOD(INT(t_B4n4_P[[#This Row],[x]]/$B$1^INT(RIGHT(t_B4n4_P[[#Headers],[b2]],1))),$B$1)</f>
        <v>1</v>
      </c>
      <c r="H25" s="56">
        <f>MOD(INT(t_B4n4_P[[#This Row],[x]]/$B$1^INT(RIGHT(t_B4n4_P[[#Headers],[b1]],1))),$B$1)</f>
        <v>0</v>
      </c>
      <c r="I25" s="56">
        <f>MOD(INT(t_B4n4_P[[#This Row],[x]]/$B$1^INT(RIGHT(t_B4n4_P[[#Headers],[b0]],1))),$B$1)</f>
        <v>2</v>
      </c>
      <c r="J25" s="16"/>
    </row>
    <row r="26" spans="1:10" x14ac:dyDescent="0.25">
      <c r="A26" s="139">
        <v>21</v>
      </c>
      <c r="B26" s="9">
        <v>216</v>
      </c>
      <c r="C26" s="9">
        <f>ROUNDUP(t_B4n4_P_Fixed[[#This Row],[Fixed]]-$B$3,0)</f>
        <v>89</v>
      </c>
      <c r="D26" s="201">
        <f>t_B4n4_P[[#This Row],[x]]-E25</f>
        <v>6</v>
      </c>
      <c r="E26" s="138">
        <v>216</v>
      </c>
      <c r="F26" s="54">
        <f>MOD(INT(t_B4n4_P[[#This Row],[x]]/$B$1^INT(RIGHT(t_B4n4_P[[#Headers],[b3]],1))),$B$1)</f>
        <v>3</v>
      </c>
      <c r="G26" s="54">
        <f>MOD(INT(t_B4n4_P[[#This Row],[x]]/$B$1^INT(RIGHT(t_B4n4_P[[#Headers],[b2]],1))),$B$1)</f>
        <v>1</v>
      </c>
      <c r="H26" s="54">
        <f>MOD(INT(t_B4n4_P[[#This Row],[x]]/$B$1^INT(RIGHT(t_B4n4_P[[#Headers],[b1]],1))),$B$1)</f>
        <v>2</v>
      </c>
      <c r="I26" s="54">
        <f>MOD(INT(t_B4n4_P[[#This Row],[x]]/$B$1^INT(RIGHT(t_B4n4_P[[#Headers],[b0]],1))),$B$1)</f>
        <v>0</v>
      </c>
      <c r="J26" s="16"/>
    </row>
    <row r="27" spans="1:10" x14ac:dyDescent="0.25">
      <c r="A27" s="139">
        <v>22</v>
      </c>
      <c r="B27" s="9">
        <v>225</v>
      </c>
      <c r="C27" s="9">
        <f>ROUNDUP(t_B4n4_P_Fixed[[#This Row],[Fixed]]-$B$3,0)</f>
        <v>98</v>
      </c>
      <c r="D27" s="11">
        <f>t_B4n4_P[[#This Row],[x]]-E26</f>
        <v>9</v>
      </c>
      <c r="E27" s="138">
        <v>225</v>
      </c>
      <c r="F27" s="42">
        <f>MOD(INT(t_B4n4_P[[#This Row],[x]]/$B$1^INT(RIGHT(t_B4n4_P[[#Headers],[b3]],1))),$B$1)</f>
        <v>3</v>
      </c>
      <c r="G27" s="42">
        <f>MOD(INT(t_B4n4_P[[#This Row],[x]]/$B$1^INT(RIGHT(t_B4n4_P[[#Headers],[b2]],1))),$B$1)</f>
        <v>2</v>
      </c>
      <c r="H27" s="42">
        <f>MOD(INT(t_B4n4_P[[#This Row],[x]]/$B$1^INT(RIGHT(t_B4n4_P[[#Headers],[b1]],1))),$B$1)</f>
        <v>0</v>
      </c>
      <c r="I27" s="42">
        <f>MOD(INT(t_B4n4_P[[#This Row],[x]]/$B$1^INT(RIGHT(t_B4n4_P[[#Headers],[b0]],1))),$B$1)</f>
        <v>1</v>
      </c>
      <c r="J27" s="16"/>
    </row>
    <row r="28" spans="1:10" x14ac:dyDescent="0.25">
      <c r="A28" s="139">
        <v>23</v>
      </c>
      <c r="B28" s="9">
        <v>228</v>
      </c>
      <c r="C28" s="9">
        <f>ROUNDUP(t_B4n4_P_Fixed[[#This Row],[Fixed]]-$B$3,0)</f>
        <v>101</v>
      </c>
      <c r="D28" s="200">
        <f>t_B4n4_P[[#This Row],[x]]-E27</f>
        <v>3</v>
      </c>
      <c r="E28" s="138">
        <v>228</v>
      </c>
      <c r="F28" s="75">
        <f>MOD(INT(t_B4n4_P[[#This Row],[x]]/$B$1^INT(RIGHT(t_B4n4_P[[#Headers],[b3]],1))),$B$1)</f>
        <v>3</v>
      </c>
      <c r="G28" s="75">
        <f>MOD(INT(t_B4n4_P[[#This Row],[x]]/$B$1^INT(RIGHT(t_B4n4_P[[#Headers],[b2]],1))),$B$1)</f>
        <v>2</v>
      </c>
      <c r="H28" s="75">
        <f>MOD(INT(t_B4n4_P[[#This Row],[x]]/$B$1^INT(RIGHT(t_B4n4_P[[#Headers],[b1]],1))),$B$1)</f>
        <v>1</v>
      </c>
      <c r="I28" s="75">
        <f>MOD(INT(t_B4n4_P[[#This Row],[x]]/$B$1^INT(RIGHT(t_B4n4_P[[#Headers],[b0]],1))),$B$1)</f>
        <v>0</v>
      </c>
      <c r="J28" s="16"/>
    </row>
    <row r="29" spans="1:10" x14ac:dyDescent="0.25">
      <c r="B29" s="197" t="s">
        <v>1</v>
      </c>
      <c r="C29" s="139"/>
      <c r="D29"/>
      <c r="E29" s="17" t="s">
        <v>1</v>
      </c>
      <c r="F29" s="17">
        <f>SUBTOTAL(109,t_B4n4_P[b3])</f>
        <v>36</v>
      </c>
      <c r="G29" s="17">
        <f>SUBTOTAL(109,t_B4n4_P[b2])</f>
        <v>36</v>
      </c>
      <c r="H29" s="17">
        <f>SUBTOTAL(109,t_B4n4_P[b1])</f>
        <v>36</v>
      </c>
      <c r="I29" s="17">
        <f>SUBTOTAL(109,t_B4n4_P[b0])</f>
        <v>36</v>
      </c>
      <c r="J29" s="16"/>
    </row>
    <row r="30" spans="1:10" x14ac:dyDescent="0.25">
      <c r="I30" s="16"/>
    </row>
    <row r="132" spans="10:10" ht="15.75" thickBot="1" x14ac:dyDescent="0.3">
      <c r="J132" s="25" t="s">
        <v>0</v>
      </c>
    </row>
  </sheetData>
  <phoneticPr fontId="22" type="noConversion"/>
  <pageMargins left="0.7" right="0.7" top="0.75" bottom="0.75" header="0.3" footer="0.3"/>
  <pageSetup paperSize="9"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
  <dimension ref="A1:EN1567"/>
  <sheetViews>
    <sheetView zoomScaleNormal="100" workbookViewId="0">
      <pane ySplit="4" topLeftCell="A5" activePane="bottomLeft" state="frozen"/>
      <selection pane="bottomLeft"/>
    </sheetView>
  </sheetViews>
  <sheetFormatPr defaultRowHeight="15" x14ac:dyDescent="0.25"/>
  <cols>
    <col min="1" max="1" width="9.5703125" bestFit="1" customWidth="1"/>
    <col min="2" max="2" width="7" style="3" bestFit="1" customWidth="1"/>
    <col min="3" max="3" width="5.7109375" bestFit="1" customWidth="1"/>
    <col min="4" max="4" width="4" bestFit="1" customWidth="1"/>
    <col min="5" max="5" width="5.7109375" bestFit="1" customWidth="1"/>
    <col min="6" max="8" width="5.140625" bestFit="1" customWidth="1"/>
    <col min="9" max="10" width="5.140625" customWidth="1"/>
    <col min="11" max="11" width="7.85546875" bestFit="1" customWidth="1"/>
    <col min="12" max="12" width="9.140625" customWidth="1"/>
    <col min="13" max="13" width="23.5703125" bestFit="1" customWidth="1"/>
    <col min="14" max="14" width="4.140625" bestFit="1" customWidth="1"/>
    <col min="15" max="15" width="2.5703125" customWidth="1"/>
    <col min="16" max="17" width="3.85546875" bestFit="1" customWidth="1"/>
    <col min="18" max="18" width="2.5703125" customWidth="1"/>
    <col min="19" max="20" width="3.85546875" bestFit="1" customWidth="1"/>
    <col min="21" max="21" width="2.5703125" customWidth="1"/>
    <col min="22" max="23" width="3.85546875" bestFit="1" customWidth="1"/>
    <col min="24" max="24" width="2.5703125" customWidth="1"/>
    <col min="25" max="26" width="3.85546875" bestFit="1" customWidth="1"/>
    <col min="27" max="27" width="2.5703125" customWidth="1"/>
    <col min="28" max="29" width="3.85546875" bestFit="1" customWidth="1"/>
    <col min="30" max="30" width="2.5703125" customWidth="1"/>
    <col min="31" max="32" width="3.85546875" bestFit="1" customWidth="1"/>
    <col min="33" max="33" width="2.5703125" customWidth="1"/>
    <col min="34" max="34" width="3.85546875" bestFit="1" customWidth="1"/>
    <col min="35" max="35" width="3.140625" bestFit="1" customWidth="1"/>
    <col min="36" max="36" width="2.5703125" customWidth="1"/>
    <col min="37" max="38" width="3.85546875" bestFit="1" customWidth="1"/>
    <col min="39" max="39" width="2.5703125" customWidth="1"/>
    <col min="40" max="41" width="3.85546875" bestFit="1" customWidth="1"/>
    <col min="42" max="42" width="2.5703125" customWidth="1"/>
    <col min="43" max="44" width="5.140625" bestFit="1" customWidth="1"/>
    <col min="45" max="45" width="2.5703125" customWidth="1"/>
    <col min="46" max="47" width="5.140625" bestFit="1" customWidth="1"/>
    <col min="48" max="48" width="2.5703125" customWidth="1"/>
    <col min="49" max="50" width="5.140625" bestFit="1" customWidth="1"/>
    <col min="52" max="52" width="5.7109375" customWidth="1"/>
    <col min="53" max="53" width="6" bestFit="1" customWidth="1"/>
    <col min="54" max="54" width="4.85546875" bestFit="1" customWidth="1"/>
    <col min="55" max="55" width="5" style="17" bestFit="1" customWidth="1"/>
    <col min="56" max="56" width="11.5703125" bestFit="1" customWidth="1"/>
    <col min="57" max="57" width="7.85546875" bestFit="1" customWidth="1"/>
    <col min="58" max="58" width="9.140625" style="17"/>
    <col min="59" max="59" width="5.7109375" customWidth="1"/>
    <col min="60" max="60" width="6" bestFit="1" customWidth="1"/>
    <col min="61" max="61" width="4.85546875" bestFit="1" customWidth="1"/>
    <col min="62" max="62" width="5" style="17" bestFit="1" customWidth="1"/>
    <col min="63" max="63" width="11.5703125" bestFit="1" customWidth="1"/>
    <col min="64" max="64" width="7.85546875" style="17" bestFit="1" customWidth="1"/>
    <col min="65" max="65" width="9.140625" style="17"/>
    <col min="66" max="66" width="5.7109375" customWidth="1"/>
    <col min="67" max="67" width="6" bestFit="1" customWidth="1"/>
    <col min="68" max="68" width="4.85546875" bestFit="1" customWidth="1"/>
    <col min="69" max="69" width="5" style="17" bestFit="1" customWidth="1"/>
    <col min="70" max="70" width="11.5703125" bestFit="1" customWidth="1"/>
    <col min="71" max="71" width="7.85546875" style="17" bestFit="1" customWidth="1"/>
    <col min="72" max="72" width="8.7109375" customWidth="1"/>
    <col min="73" max="73" width="5.7109375" customWidth="1"/>
    <col min="74" max="74" width="6" bestFit="1" customWidth="1"/>
    <col min="75" max="75" width="4.85546875" bestFit="1" customWidth="1"/>
    <col min="76" max="76" width="5" style="17" bestFit="1" customWidth="1"/>
    <col min="77" max="77" width="11.5703125" bestFit="1" customWidth="1"/>
    <col min="78" max="78" width="7.85546875" style="17" bestFit="1" customWidth="1"/>
    <col min="79" max="79" width="8.7109375" customWidth="1"/>
    <col min="80" max="80" width="5.7109375" customWidth="1"/>
    <col min="81" max="81" width="6" bestFit="1" customWidth="1"/>
    <col min="82" max="82" width="4.85546875" bestFit="1" customWidth="1"/>
    <col min="83" max="83" width="5" style="17" bestFit="1" customWidth="1"/>
    <col min="84" max="84" width="11.5703125" bestFit="1" customWidth="1"/>
    <col min="85" max="85" width="7.85546875" style="17" bestFit="1" customWidth="1"/>
    <col min="86" max="86" width="8.7109375" customWidth="1"/>
    <col min="87" max="87" width="5.7109375" customWidth="1"/>
    <col min="88" max="88" width="6" bestFit="1" customWidth="1"/>
    <col min="89" max="89" width="4.85546875" bestFit="1" customWidth="1"/>
    <col min="90" max="90" width="5" style="17" bestFit="1" customWidth="1"/>
    <col min="91" max="91" width="11.5703125" bestFit="1" customWidth="1"/>
    <col min="92" max="92" width="7.85546875" style="17" bestFit="1" customWidth="1"/>
    <col min="93" max="93" width="8.7109375" customWidth="1"/>
    <col min="94" max="94" width="5.7109375" customWidth="1"/>
    <col min="95" max="95" width="6" bestFit="1" customWidth="1"/>
    <col min="96" max="96" width="4.85546875" bestFit="1" customWidth="1"/>
    <col min="97" max="97" width="5" style="17" bestFit="1" customWidth="1"/>
    <col min="98" max="98" width="11.5703125" bestFit="1" customWidth="1"/>
    <col min="99" max="99" width="7.85546875" style="17" bestFit="1" customWidth="1"/>
    <col min="100" max="100" width="8.7109375" customWidth="1"/>
    <col min="101" max="101" width="5.7109375" customWidth="1"/>
    <col min="102" max="102" width="6" bestFit="1" customWidth="1"/>
    <col min="103" max="103" width="4.85546875" bestFit="1" customWidth="1"/>
    <col min="104" max="104" width="5" style="17" bestFit="1" customWidth="1"/>
    <col min="105" max="105" width="11.5703125" bestFit="1" customWidth="1"/>
    <col min="106" max="106" width="7.85546875" style="17" bestFit="1" customWidth="1"/>
    <col min="107" max="107" width="8.7109375" customWidth="1"/>
    <col min="108" max="108" width="5.7109375" customWidth="1"/>
    <col min="109" max="109" width="6" bestFit="1" customWidth="1"/>
    <col min="110" max="110" width="4.85546875" bestFit="1" customWidth="1"/>
    <col min="111" max="111" width="5" style="17" bestFit="1" customWidth="1"/>
    <col min="112" max="112" width="11.5703125" bestFit="1" customWidth="1"/>
    <col min="113" max="113" width="7.85546875" style="17" bestFit="1" customWidth="1"/>
    <col min="114" max="114" width="8.7109375" customWidth="1"/>
    <col min="115" max="115" width="5.7109375" customWidth="1"/>
    <col min="116" max="116" width="6" bestFit="1" customWidth="1"/>
    <col min="117" max="117" width="4.85546875" style="17" bestFit="1" customWidth="1"/>
    <col min="118" max="118" width="5" bestFit="1" customWidth="1"/>
    <col min="119" max="119" width="12.85546875" bestFit="1" customWidth="1"/>
    <col min="120" max="120" width="7.85546875" style="17" bestFit="1" customWidth="1"/>
    <col min="121" max="121" width="8.7109375" customWidth="1"/>
    <col min="122" max="122" width="5.7109375" customWidth="1"/>
    <col min="123" max="123" width="6" bestFit="1" customWidth="1"/>
    <col min="124" max="124" width="4.85546875" bestFit="1" customWidth="1"/>
    <col min="125" max="125" width="5" style="17" bestFit="1" customWidth="1"/>
    <col min="126" max="126" width="12.85546875" bestFit="1" customWidth="1"/>
    <col min="127" max="127" width="7.85546875" style="17" bestFit="1" customWidth="1"/>
    <col min="128" max="128" width="9.140625" style="17"/>
    <col min="129" max="129" width="5.7109375" customWidth="1"/>
    <col min="130" max="130" width="6" bestFit="1" customWidth="1"/>
    <col min="131" max="131" width="4.85546875" bestFit="1" customWidth="1"/>
    <col min="132" max="132" width="5" style="17" bestFit="1" customWidth="1"/>
    <col min="133" max="133" width="12.85546875" bestFit="1" customWidth="1"/>
  </cols>
  <sheetData>
    <row r="1" spans="1:134" s="17" customFormat="1" ht="18.75" x14ac:dyDescent="0.3">
      <c r="A1" s="202" t="s">
        <v>2</v>
      </c>
      <c r="B1" s="203">
        <v>5</v>
      </c>
    </row>
    <row r="2" spans="1:134" s="17" customFormat="1" ht="18.75" x14ac:dyDescent="0.3">
      <c r="A2" s="202" t="s">
        <v>4</v>
      </c>
      <c r="B2" s="203">
        <v>5</v>
      </c>
    </row>
    <row r="3" spans="1:134" ht="18.75" x14ac:dyDescent="0.3">
      <c r="A3" s="202" t="s">
        <v>0</v>
      </c>
      <c r="B3" s="203">
        <f>(B1^B2 - 1)/2</f>
        <v>1562</v>
      </c>
    </row>
    <row r="4" spans="1:134" ht="51.75" thickBot="1" x14ac:dyDescent="0.3">
      <c r="A4" s="119" t="s">
        <v>25</v>
      </c>
      <c r="B4" s="119" t="s">
        <v>6</v>
      </c>
      <c r="C4" s="119" t="s">
        <v>26</v>
      </c>
      <c r="D4" s="120" t="s">
        <v>28</v>
      </c>
      <c r="E4" s="208" t="s">
        <v>27</v>
      </c>
      <c r="F4" s="121" t="s">
        <v>11</v>
      </c>
      <c r="G4" s="121" t="s">
        <v>10</v>
      </c>
      <c r="H4" s="121" t="s">
        <v>9</v>
      </c>
      <c r="I4" s="121" t="s">
        <v>8</v>
      </c>
      <c r="J4" s="121" t="s">
        <v>7</v>
      </c>
      <c r="AZ4" s="120" t="s">
        <v>28</v>
      </c>
      <c r="BA4" s="120" t="s">
        <v>26</v>
      </c>
      <c r="BB4" s="254" t="s">
        <v>538</v>
      </c>
      <c r="BC4" s="254" t="s">
        <v>539</v>
      </c>
      <c r="BD4" s="120" t="s">
        <v>537</v>
      </c>
      <c r="BG4" s="120" t="s">
        <v>28</v>
      </c>
      <c r="BH4" s="120" t="s">
        <v>26</v>
      </c>
      <c r="BI4" s="254" t="s">
        <v>538</v>
      </c>
      <c r="BJ4" s="254" t="s">
        <v>539</v>
      </c>
      <c r="BK4" s="120" t="s">
        <v>537</v>
      </c>
      <c r="BN4" s="120" t="s">
        <v>28</v>
      </c>
      <c r="BO4" s="120" t="s">
        <v>26</v>
      </c>
      <c r="BP4" s="254" t="s">
        <v>538</v>
      </c>
      <c r="BQ4" s="254" t="s">
        <v>539</v>
      </c>
      <c r="BR4" s="120" t="s">
        <v>537</v>
      </c>
      <c r="BT4" s="17"/>
      <c r="BU4" s="120" t="s">
        <v>28</v>
      </c>
      <c r="BV4" s="120" t="s">
        <v>26</v>
      </c>
      <c r="BW4" s="254" t="s">
        <v>538</v>
      </c>
      <c r="BX4" s="254" t="s">
        <v>539</v>
      </c>
      <c r="BY4" s="120" t="s">
        <v>537</v>
      </c>
      <c r="CA4" s="17"/>
      <c r="CB4" s="120" t="s">
        <v>28</v>
      </c>
      <c r="CC4" s="120" t="s">
        <v>26</v>
      </c>
      <c r="CD4" s="254" t="s">
        <v>538</v>
      </c>
      <c r="CE4" s="254" t="s">
        <v>539</v>
      </c>
      <c r="CF4" s="120" t="s">
        <v>537</v>
      </c>
      <c r="CH4" s="17"/>
      <c r="CI4" s="120" t="s">
        <v>28</v>
      </c>
      <c r="CJ4" s="120" t="s">
        <v>26</v>
      </c>
      <c r="CK4" s="254" t="s">
        <v>538</v>
      </c>
      <c r="CL4" s="254" t="s">
        <v>539</v>
      </c>
      <c r="CM4" s="120" t="s">
        <v>537</v>
      </c>
      <c r="CO4" s="17"/>
      <c r="CP4" s="120" t="s">
        <v>28</v>
      </c>
      <c r="CQ4" s="120" t="s">
        <v>26</v>
      </c>
      <c r="CR4" s="254" t="s">
        <v>538</v>
      </c>
      <c r="CS4" s="254" t="s">
        <v>539</v>
      </c>
      <c r="CT4" s="120" t="s">
        <v>537</v>
      </c>
      <c r="CV4" s="17"/>
      <c r="CW4" s="120" t="s">
        <v>28</v>
      </c>
      <c r="CX4" s="120" t="s">
        <v>26</v>
      </c>
      <c r="CY4" s="254" t="s">
        <v>538</v>
      </c>
      <c r="CZ4" s="254" t="s">
        <v>539</v>
      </c>
      <c r="DA4" s="120" t="s">
        <v>537</v>
      </c>
      <c r="DC4" s="17"/>
      <c r="DD4" s="120" t="s">
        <v>28</v>
      </c>
      <c r="DE4" s="120" t="s">
        <v>26</v>
      </c>
      <c r="DF4" s="254" t="s">
        <v>538</v>
      </c>
      <c r="DG4" s="254" t="s">
        <v>539</v>
      </c>
      <c r="DH4" s="120" t="s">
        <v>537</v>
      </c>
      <c r="DJ4" s="17"/>
      <c r="DK4" s="120" t="s">
        <v>28</v>
      </c>
      <c r="DL4" s="120" t="s">
        <v>26</v>
      </c>
      <c r="DM4" s="254" t="s">
        <v>538</v>
      </c>
      <c r="DN4" s="254" t="s">
        <v>539</v>
      </c>
      <c r="DO4" s="120" t="s">
        <v>537</v>
      </c>
      <c r="DQ4" s="17"/>
      <c r="DR4" s="120" t="s">
        <v>28</v>
      </c>
      <c r="DS4" s="120" t="s">
        <v>26</v>
      </c>
      <c r="DT4" s="254" t="s">
        <v>538</v>
      </c>
      <c r="DU4" s="254" t="s">
        <v>539</v>
      </c>
      <c r="DV4" s="120" t="s">
        <v>537</v>
      </c>
      <c r="DY4" s="120" t="s">
        <v>28</v>
      </c>
      <c r="DZ4" s="120" t="s">
        <v>26</v>
      </c>
      <c r="EA4" s="254" t="s">
        <v>538</v>
      </c>
      <c r="EB4" s="254" t="s">
        <v>539</v>
      </c>
      <c r="EC4" s="120" t="s">
        <v>537</v>
      </c>
      <c r="ED4" s="17"/>
    </row>
    <row r="5" spans="1:134" ht="16.5" thickTop="1" thickBot="1" x14ac:dyDescent="0.3">
      <c r="A5" s="139">
        <v>0</v>
      </c>
      <c r="B5" s="1">
        <v>194</v>
      </c>
      <c r="C5" s="9">
        <f>ROUNDUP(t_B5n5_P_Fixed[[#This Row],[Fixed]]-$B$3,0)</f>
        <v>-1368</v>
      </c>
      <c r="D5" s="11"/>
      <c r="E5" s="139">
        <v>194</v>
      </c>
      <c r="F5" s="137">
        <v>0</v>
      </c>
      <c r="G5" s="137">
        <v>1</v>
      </c>
      <c r="H5" s="136">
        <v>2</v>
      </c>
      <c r="I5" s="136">
        <v>3</v>
      </c>
      <c r="J5" s="137">
        <v>4</v>
      </c>
      <c r="K5" s="16"/>
      <c r="AZ5" s="139"/>
      <c r="BA5" s="139">
        <f>INDEX(t_B5n5_P_Fixed[Offset],MATCH($B$5,t_B5n5_P[x],0),1)</f>
        <v>-1368</v>
      </c>
      <c r="BB5" s="139">
        <v>0</v>
      </c>
      <c r="BC5" s="139">
        <v>194</v>
      </c>
      <c r="BD5" s="271" t="s">
        <v>417</v>
      </c>
      <c r="BG5" s="139"/>
      <c r="BH5" s="139">
        <f>INDEX(t_B5n5_P_Fixed[Offset],MATCH($B$6,t_B5n5_P[x],0),1)</f>
        <v>-1364</v>
      </c>
      <c r="BI5" s="139">
        <v>0</v>
      </c>
      <c r="BJ5" s="139">
        <v>198</v>
      </c>
      <c r="BK5" s="255" t="s">
        <v>418</v>
      </c>
      <c r="BN5" s="139"/>
      <c r="BO5" s="139">
        <f>INDEX(t_B5n5_P_Fixed[Offset],MATCH($B$7,t_B5n5_P[x],0),1)</f>
        <v>-1348</v>
      </c>
      <c r="BP5" s="139">
        <v>0</v>
      </c>
      <c r="BQ5" s="139">
        <v>214</v>
      </c>
      <c r="BR5" s="274" t="s">
        <v>419</v>
      </c>
      <c r="BT5" s="17"/>
      <c r="BU5" s="139"/>
      <c r="BV5" s="139">
        <f>INDEX(t_B5n5_P_Fixed[Offset],MATCH($B$8,t_B5n5_P[x],0),1)</f>
        <v>-1340</v>
      </c>
      <c r="BW5" s="139">
        <v>0</v>
      </c>
      <c r="BX5" s="139">
        <v>222</v>
      </c>
      <c r="BY5" s="276" t="s">
        <v>420</v>
      </c>
      <c r="CA5" s="17"/>
      <c r="CB5" s="139"/>
      <c r="CC5" s="139">
        <f>INDEX(t_B5n5_P_Fixed[Offset],MATCH($B$9,t_B5n5_P[x],0),1)</f>
        <v>-1324</v>
      </c>
      <c r="CD5" s="139">
        <v>0</v>
      </c>
      <c r="CE5" s="139">
        <v>238</v>
      </c>
      <c r="CF5" s="277" t="s">
        <v>421</v>
      </c>
      <c r="CH5" s="17"/>
      <c r="CI5" s="139"/>
      <c r="CJ5" s="139">
        <f>INDEX(t_B5n5_P_Fixed[Offset],MATCH($B$11,t_B5n5_P[x],0),1)</f>
        <v>-1268</v>
      </c>
      <c r="CK5" s="139">
        <v>0</v>
      </c>
      <c r="CL5" s="139">
        <v>294</v>
      </c>
      <c r="CM5" s="279" t="s">
        <v>423</v>
      </c>
      <c r="CO5" s="17"/>
      <c r="CP5" s="139"/>
      <c r="CQ5" s="139">
        <f>INDEX(t_B5n5_P_Fixed[Offset],MATCH($B$13,t_B5n5_P[x],0),1)</f>
        <v>-1228</v>
      </c>
      <c r="CR5" s="139">
        <v>0</v>
      </c>
      <c r="CS5" s="139">
        <v>334</v>
      </c>
      <c r="CT5" s="280" t="s">
        <v>425</v>
      </c>
      <c r="CV5" s="17"/>
      <c r="CW5" s="139"/>
      <c r="CX5" s="139">
        <f>INDEX(t_B5n5_P_Fixed[Offset],MATCH($B$14,t_B5n5_P[x],0),1)</f>
        <v>-1216</v>
      </c>
      <c r="CY5" s="139">
        <v>0</v>
      </c>
      <c r="CZ5" s="139">
        <v>346</v>
      </c>
      <c r="DA5" s="281" t="s">
        <v>426</v>
      </c>
      <c r="DC5" s="17"/>
      <c r="DD5" s="139"/>
      <c r="DE5" s="139">
        <f>INDEX(t_B5n5_P_Fixed[Offset],MATCH($B$15,t_B5n5_P[x],0),1)</f>
        <v>-1204</v>
      </c>
      <c r="DF5" s="139">
        <v>0</v>
      </c>
      <c r="DG5" s="139">
        <v>358</v>
      </c>
      <c r="DH5" s="282" t="s">
        <v>427</v>
      </c>
      <c r="DJ5" s="17"/>
      <c r="DK5" s="139"/>
      <c r="DL5" s="139">
        <f>INDEX(t_B5n5_P_Fixed[Offset],MATCH($B$17,t_B5n5_P[x],0),1)</f>
        <v>-1148</v>
      </c>
      <c r="DM5" s="139">
        <v>0</v>
      </c>
      <c r="DN5" s="139">
        <v>414</v>
      </c>
      <c r="DO5" s="283" t="s">
        <v>429</v>
      </c>
      <c r="DQ5" s="17"/>
      <c r="DR5" s="139"/>
      <c r="DS5" s="139">
        <f>INDEX(t_B5n5_P_Fixed[Offset],MATCH($B$19,t_B5n5_P[x],0),1)</f>
        <v>-1128</v>
      </c>
      <c r="DT5" s="139">
        <v>0</v>
      </c>
      <c r="DU5" s="139">
        <v>434</v>
      </c>
      <c r="DV5" s="284" t="s">
        <v>431</v>
      </c>
      <c r="DY5" s="139"/>
      <c r="DZ5" s="139">
        <f>INDEX(t_B5n5_P_Fixed[Offset],MATCH($B$20,t_B5n5_P[x],0),1)</f>
        <v>-1116</v>
      </c>
      <c r="EA5" s="139">
        <v>0</v>
      </c>
      <c r="EB5" s="139">
        <v>446</v>
      </c>
      <c r="EC5" s="286" t="s">
        <v>432</v>
      </c>
      <c r="ED5" s="17"/>
    </row>
    <row r="6" spans="1:134" ht="15.75" thickBot="1" x14ac:dyDescent="0.3">
      <c r="A6" s="139">
        <v>1</v>
      </c>
      <c r="B6" s="1">
        <v>198</v>
      </c>
      <c r="C6" s="9">
        <f>ROUNDUP(t_B5n5_P_Fixed[[#This Row],[Fixed]]-$B$3,0)</f>
        <v>-1364</v>
      </c>
      <c r="D6" s="11">
        <f>t_B5n5_P[[#This Row],[x]]-E5</f>
        <v>4</v>
      </c>
      <c r="E6" s="1">
        <v>198</v>
      </c>
      <c r="F6" s="43">
        <v>0</v>
      </c>
      <c r="G6" s="43">
        <v>1</v>
      </c>
      <c r="H6" s="42">
        <v>2</v>
      </c>
      <c r="I6" s="42">
        <v>4</v>
      </c>
      <c r="J6" s="43">
        <v>3</v>
      </c>
      <c r="K6" s="16"/>
      <c r="M6" s="34" t="s">
        <v>21</v>
      </c>
      <c r="N6" s="35" t="s">
        <v>5</v>
      </c>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Z6" s="139">
        <f>t_B5n5_P_AB1[[#This Row],[Offset]]-BA5</f>
        <v>392</v>
      </c>
      <c r="BA6" s="139">
        <f>INDEX(t_B5n5_P_Fixed[Offset],MATCH($B$28,t_B5n5_P[x],0),1)</f>
        <v>-976</v>
      </c>
      <c r="BB6" s="139">
        <v>5</v>
      </c>
      <c r="BC6" s="139">
        <v>586</v>
      </c>
      <c r="BD6" s="272" t="s">
        <v>440</v>
      </c>
      <c r="BG6" s="139">
        <f>t_B5n5_P_AB2[[#This Row],[Offset]]-BH5</f>
        <v>44</v>
      </c>
      <c r="BH6" s="139">
        <f>INDEX(t_B5n5_P_Fixed[Offset],MATCH($B$10,t_B5n5_P[x],0),1)</f>
        <v>-1320</v>
      </c>
      <c r="BI6" s="139">
        <v>5</v>
      </c>
      <c r="BJ6" s="139">
        <v>242</v>
      </c>
      <c r="BK6" s="273" t="s">
        <v>422</v>
      </c>
      <c r="BN6" s="139">
        <f>t_B5n5_P_AB3[[#This Row],[Offset]]-BO5</f>
        <v>368</v>
      </c>
      <c r="BO6" s="139">
        <f>INDEX(t_B5n5_P_Fixed[Offset],MATCH($B$27,t_B5n5_P[x],0),1)</f>
        <v>-980</v>
      </c>
      <c r="BP6" s="139">
        <v>5</v>
      </c>
      <c r="BQ6" s="139">
        <v>582</v>
      </c>
      <c r="BR6" s="275" t="s">
        <v>439</v>
      </c>
      <c r="BT6" s="17"/>
      <c r="BU6" s="139">
        <f>t_B5n5_P_AB4[[#This Row],[Offset]]-BV5</f>
        <v>144</v>
      </c>
      <c r="BV6" s="139">
        <f>INDEX(t_B5n5_P_Fixed[Offset],MATCH($B$16,t_B5n5_P[x],0),1)</f>
        <v>-1196</v>
      </c>
      <c r="BW6" s="139">
        <v>5</v>
      </c>
      <c r="BX6" s="139">
        <v>366</v>
      </c>
      <c r="BY6" s="226" t="s">
        <v>428</v>
      </c>
      <c r="CA6" s="17"/>
      <c r="CB6" s="139">
        <f>t_B5n5_P_AB5[[#This Row],[Offset]]-CC5</f>
        <v>60</v>
      </c>
      <c r="CC6" s="139">
        <f>INDEX(t_B5n5_P_Fixed[Offset],MATCH($B$12,t_B5n5_P[x],0),1)</f>
        <v>-1264</v>
      </c>
      <c r="CD6" s="139">
        <v>5</v>
      </c>
      <c r="CE6" s="139">
        <v>298</v>
      </c>
      <c r="CF6" s="278" t="s">
        <v>424</v>
      </c>
      <c r="CH6" s="17"/>
      <c r="CI6" s="139">
        <f>t_B5n5_P_AB6[[#This Row],[Offset]]-CJ5</f>
        <v>272</v>
      </c>
      <c r="CJ6" s="139">
        <f>INDEX(t_B5n5_P_Fixed[Offset],MATCH($B$26,t_B5n5_P[x],0),1)</f>
        <v>-996</v>
      </c>
      <c r="CK6" s="139">
        <v>5</v>
      </c>
      <c r="CL6" s="139">
        <v>566</v>
      </c>
      <c r="CM6" s="265" t="s">
        <v>438</v>
      </c>
      <c r="CO6" s="17"/>
      <c r="CP6" s="139">
        <f>t_B5n5_P_AB7[[#This Row],[Offset]]-CQ5</f>
        <v>224</v>
      </c>
      <c r="CQ6" s="139">
        <f>INDEX(t_B5n5_P_Fixed[Offset],MATCH($B$25,t_B5n5_P[x],0),1)</f>
        <v>-1004</v>
      </c>
      <c r="CR6" s="139">
        <v>5</v>
      </c>
      <c r="CS6" s="139">
        <v>558</v>
      </c>
      <c r="CT6" s="40" t="s">
        <v>437</v>
      </c>
      <c r="CV6" s="17"/>
      <c r="CW6" s="139">
        <f>t_B5n5_P_AB8[[#This Row],[Offset]]-CX5</f>
        <v>140</v>
      </c>
      <c r="CX6" s="139">
        <f>INDEX(t_B5n5_P_Fixed[Offset],MATCH($B$22,t_B5n5_P[x],0),1)</f>
        <v>-1076</v>
      </c>
      <c r="CY6" s="139">
        <v>5</v>
      </c>
      <c r="CZ6" s="139">
        <v>486</v>
      </c>
      <c r="DA6" s="268" t="s">
        <v>434</v>
      </c>
      <c r="DC6" s="17"/>
      <c r="DD6" s="139">
        <f>t_B5n5_P_AB9[[#This Row],[Offset]]-DE5</f>
        <v>64</v>
      </c>
      <c r="DE6" s="139">
        <f>INDEX(t_B5n5_P_Fixed[Offset],MATCH($B$18,t_B5n5_P[x],0),1)</f>
        <v>-1140</v>
      </c>
      <c r="DF6" s="139">
        <v>5</v>
      </c>
      <c r="DG6" s="139">
        <v>422</v>
      </c>
      <c r="DH6" s="269" t="s">
        <v>430</v>
      </c>
      <c r="DJ6" s="17"/>
      <c r="DK6" s="139">
        <f>t_B5n5_P_AB10[[#This Row],[Offset]]-DL5</f>
        <v>128</v>
      </c>
      <c r="DL6" s="139">
        <f>INDEX(t_B5n5_P_Fixed[Offset],MATCH($B$24,t_B5n5_P[x],0),1)</f>
        <v>-1020</v>
      </c>
      <c r="DM6" s="139">
        <v>5</v>
      </c>
      <c r="DN6" s="139">
        <v>542</v>
      </c>
      <c r="DO6" s="270" t="s">
        <v>436</v>
      </c>
      <c r="DQ6" s="17"/>
      <c r="DR6" s="139">
        <f>t_B5n5_P_AB11[[#This Row],[Offset]]-DS5</f>
        <v>104</v>
      </c>
      <c r="DS6" s="139">
        <f>INDEX(t_B5n5_P_Fixed[Offset],MATCH($B$23,t_B5n5_P[x],0),1)</f>
        <v>-1024</v>
      </c>
      <c r="DT6" s="139">
        <v>5</v>
      </c>
      <c r="DU6" s="139">
        <v>538</v>
      </c>
      <c r="DV6" s="285" t="s">
        <v>435</v>
      </c>
      <c r="DY6" s="139">
        <f>t_B5n5_P_AB12[[#This Row],[Offset]]-DZ5</f>
        <v>36</v>
      </c>
      <c r="DZ6" s="139">
        <f>INDEX(t_B5n5_P_Fixed[Offset],MATCH($B$21,t_B5n5_P[x],0),1)</f>
        <v>-1080</v>
      </c>
      <c r="EA6" s="139">
        <v>5</v>
      </c>
      <c r="EB6" s="139">
        <v>482</v>
      </c>
      <c r="EC6" s="232" t="s">
        <v>433</v>
      </c>
      <c r="ED6" s="17"/>
    </row>
    <row r="7" spans="1:134" ht="15.75" thickBot="1" x14ac:dyDescent="0.3">
      <c r="A7" s="139">
        <v>2</v>
      </c>
      <c r="B7" s="1">
        <v>214</v>
      </c>
      <c r="C7" s="9">
        <f>ROUNDUP(t_B5n5_P_Fixed[[#This Row],[Fixed]]-$B$3,0)</f>
        <v>-1348</v>
      </c>
      <c r="D7" s="11">
        <f>t_B5n5_P[[#This Row],[x]]-E6</f>
        <v>16</v>
      </c>
      <c r="E7" s="1">
        <v>214</v>
      </c>
      <c r="F7" s="45">
        <v>0</v>
      </c>
      <c r="G7" s="45">
        <v>1</v>
      </c>
      <c r="H7" s="44">
        <v>3</v>
      </c>
      <c r="I7" s="44">
        <v>2</v>
      </c>
      <c r="J7" s="45">
        <v>4</v>
      </c>
      <c r="K7" s="16"/>
      <c r="L7" s="17"/>
      <c r="M7" s="36" t="s">
        <v>18</v>
      </c>
      <c r="N7" s="37">
        <v>12</v>
      </c>
      <c r="P7" s="89" t="s">
        <v>33</v>
      </c>
      <c r="Q7" s="107" t="s">
        <v>34</v>
      </c>
      <c r="S7" s="90" t="s">
        <v>36</v>
      </c>
      <c r="T7" s="96" t="s">
        <v>37</v>
      </c>
      <c r="V7" s="91" t="s">
        <v>39</v>
      </c>
      <c r="W7" s="97" t="s">
        <v>40</v>
      </c>
      <c r="X7" s="17"/>
      <c r="Y7" s="92" t="s">
        <v>41</v>
      </c>
      <c r="Z7" s="183" t="s">
        <v>42</v>
      </c>
      <c r="AA7" s="17"/>
      <c r="AB7" s="93" t="s">
        <v>43</v>
      </c>
      <c r="AC7" s="99" t="s">
        <v>44</v>
      </c>
      <c r="AD7" s="17"/>
      <c r="AE7" s="94" t="s">
        <v>45</v>
      </c>
      <c r="AF7" s="100" t="s">
        <v>46</v>
      </c>
      <c r="AG7" s="17"/>
      <c r="AH7" s="110" t="s">
        <v>47</v>
      </c>
      <c r="AI7" s="179" t="s">
        <v>48</v>
      </c>
      <c r="AJ7" s="17"/>
      <c r="AK7" s="180" t="s">
        <v>49</v>
      </c>
      <c r="AL7" s="182" t="s">
        <v>50</v>
      </c>
      <c r="AM7" s="17"/>
      <c r="AN7" s="103" t="s">
        <v>51</v>
      </c>
      <c r="AO7" s="101" t="s">
        <v>52</v>
      </c>
      <c r="AP7" s="17"/>
      <c r="AQ7" s="104" t="s">
        <v>53</v>
      </c>
      <c r="AR7" s="105" t="s">
        <v>54</v>
      </c>
      <c r="AS7" s="17"/>
      <c r="AT7" s="106" t="s">
        <v>177</v>
      </c>
      <c r="AU7" s="108" t="s">
        <v>178</v>
      </c>
      <c r="AV7" s="17"/>
      <c r="AW7" s="181" t="s">
        <v>179</v>
      </c>
      <c r="AX7" s="109" t="s">
        <v>180</v>
      </c>
      <c r="AZ7" s="139">
        <f>t_B5n5_P_AB1[[#This Row],[Offset]]-BA6</f>
        <v>156</v>
      </c>
      <c r="BA7" s="139">
        <f>INDEX(t_B5n5_P_Fixed[Offset],MATCH($B$34,t_B5n5_P[x],0),1)</f>
        <v>-820</v>
      </c>
      <c r="BB7" s="139">
        <v>6</v>
      </c>
      <c r="BC7" s="139">
        <v>742</v>
      </c>
      <c r="BD7" s="272" t="s">
        <v>446</v>
      </c>
      <c r="BG7" s="139">
        <f>t_B5n5_P_AB2[[#This Row],[Offset]]-BH6</f>
        <v>748</v>
      </c>
      <c r="BH7" s="139">
        <f>INDEX(t_B5n5_P_Fixed[Offset],MATCH($B$40,t_B5n5_P[x],0),1)</f>
        <v>-572</v>
      </c>
      <c r="BI7" s="139">
        <v>1</v>
      </c>
      <c r="BJ7" s="139">
        <v>990</v>
      </c>
      <c r="BK7" s="255" t="s">
        <v>452</v>
      </c>
      <c r="BN7" s="139">
        <f>t_B5n5_P_AB3[[#This Row],[Offset]]-BO6</f>
        <v>316</v>
      </c>
      <c r="BO7" s="139">
        <f>INDEX(t_B5n5_P_Fixed[Offset],MATCH($B$36,t_B5n5_P[x],0),1)</f>
        <v>-664</v>
      </c>
      <c r="BP7" s="139">
        <v>6</v>
      </c>
      <c r="BQ7" s="139">
        <v>898</v>
      </c>
      <c r="BR7" s="275" t="s">
        <v>448</v>
      </c>
      <c r="BT7" s="17"/>
      <c r="BU7" s="139">
        <f>t_B5n5_P_AB4[[#This Row],[Offset]]-BV6</f>
        <v>332</v>
      </c>
      <c r="BV7" s="139">
        <f>INDEX(t_B5n5_P_Fixed[Offset],MATCH($B$30,t_B5n5_P[x],0),1)</f>
        <v>-864</v>
      </c>
      <c r="BW7" s="139">
        <v>6</v>
      </c>
      <c r="BX7" s="139">
        <v>698</v>
      </c>
      <c r="BY7" s="226" t="s">
        <v>442</v>
      </c>
      <c r="CA7" s="17"/>
      <c r="CB7" s="139">
        <f>t_B5n5_P_AB5[[#This Row],[Offset]]-CC6</f>
        <v>892</v>
      </c>
      <c r="CC7" s="139">
        <f>INDEX(t_B5n5_P_Fixed[Offset],MATCH($B$50,t_B5n5_P[x],0),1)</f>
        <v>-372</v>
      </c>
      <c r="CD7" s="139">
        <v>1</v>
      </c>
      <c r="CE7" s="139">
        <v>1190</v>
      </c>
      <c r="CF7" s="277" t="s">
        <v>462</v>
      </c>
      <c r="CH7" s="17"/>
      <c r="CI7" s="139">
        <f>t_B5n5_P_AB6[[#This Row],[Offset]]-CJ6</f>
        <v>172</v>
      </c>
      <c r="CJ7" s="139">
        <f>INDEX(t_B5n5_P_Fixed[Offset],MATCH($B$33,t_B5n5_P[x],0),1)</f>
        <v>-824</v>
      </c>
      <c r="CK7" s="139">
        <v>6</v>
      </c>
      <c r="CL7" s="139">
        <v>738</v>
      </c>
      <c r="CM7" s="265" t="s">
        <v>445</v>
      </c>
      <c r="CO7" s="17"/>
      <c r="CP7" s="139">
        <f>t_B5n5_P_AB7[[#This Row],[Offset]]-CQ6</f>
        <v>464</v>
      </c>
      <c r="CQ7" s="139">
        <f>INDEX(t_B5n5_P_Fixed[Offset],MATCH($B$42,t_B5n5_P[x],0),1)</f>
        <v>-540</v>
      </c>
      <c r="CR7" s="139">
        <v>6</v>
      </c>
      <c r="CS7" s="139">
        <v>1022</v>
      </c>
      <c r="CT7" s="40" t="s">
        <v>454</v>
      </c>
      <c r="CV7" s="17"/>
      <c r="CW7" s="139">
        <f>t_B5n5_P_AB8[[#This Row],[Offset]]-CX6</f>
        <v>208</v>
      </c>
      <c r="CX7" s="139">
        <f>INDEX(t_B5n5_P_Fixed[Offset],MATCH($B$29,t_B5n5_P[x],0),1)</f>
        <v>-868</v>
      </c>
      <c r="CY7" s="139">
        <v>1</v>
      </c>
      <c r="CZ7" s="139">
        <v>694</v>
      </c>
      <c r="DA7" s="281" t="s">
        <v>441</v>
      </c>
      <c r="DC7" s="17"/>
      <c r="DD7" s="139">
        <f>t_B5n5_P_AB9[[#This Row],[Offset]]-DE6</f>
        <v>592</v>
      </c>
      <c r="DE7" s="139">
        <f>INDEX(t_B5n5_P_Fixed[Offset],MATCH($B$41,t_B5n5_P[x],0),1)</f>
        <v>-548</v>
      </c>
      <c r="DF7" s="139">
        <v>1</v>
      </c>
      <c r="DG7" s="139">
        <v>1014</v>
      </c>
      <c r="DH7" s="282" t="s">
        <v>453</v>
      </c>
      <c r="DJ7" s="17"/>
      <c r="DK7" s="139">
        <f>t_B5n5_P_AB10[[#This Row],[Offset]]-DL6</f>
        <v>436</v>
      </c>
      <c r="DL7" s="139">
        <f>INDEX(t_B5n5_P_Fixed[Offset],MATCH($B$39,t_B5n5_P[x],0),1)</f>
        <v>-584</v>
      </c>
      <c r="DM7" s="139">
        <v>1</v>
      </c>
      <c r="DN7" s="139">
        <v>978</v>
      </c>
      <c r="DO7" s="283" t="s">
        <v>451</v>
      </c>
      <c r="DQ7" s="17"/>
      <c r="DR7" s="139">
        <f>t_B5n5_P_AB11[[#This Row],[Offset]]-DS6</f>
        <v>416</v>
      </c>
      <c r="DS7" s="139">
        <f>INDEX(t_B5n5_P_Fixed[Offset],MATCH($B$37,t_B5n5_P[x],0),1)</f>
        <v>-608</v>
      </c>
      <c r="DT7" s="139">
        <v>6</v>
      </c>
      <c r="DU7" s="139">
        <v>954</v>
      </c>
      <c r="DV7" s="285" t="s">
        <v>449</v>
      </c>
      <c r="DY7" s="139">
        <f>t_B5n5_P_AB12[[#This Row],[Offset]]-DZ6</f>
        <v>232</v>
      </c>
      <c r="DZ7" s="139">
        <f>INDEX(t_B5n5_P_Fixed[Offset],MATCH($B$31,t_B5n5_P[x],0),1)</f>
        <v>-848</v>
      </c>
      <c r="EA7" s="139">
        <v>1</v>
      </c>
      <c r="EB7" s="139">
        <v>714</v>
      </c>
      <c r="EC7" s="286" t="s">
        <v>443</v>
      </c>
      <c r="ED7" s="17"/>
    </row>
    <row r="8" spans="1:134" x14ac:dyDescent="0.25">
      <c r="A8" s="139">
        <v>3</v>
      </c>
      <c r="B8" s="1">
        <v>222</v>
      </c>
      <c r="C8" s="9">
        <f>ROUNDUP(t_B5n5_P_Fixed[[#This Row],[Fixed]]-$B$3,0)</f>
        <v>-1340</v>
      </c>
      <c r="D8" s="11">
        <f>t_B5n5_P[[#This Row],[x]]-E7</f>
        <v>8</v>
      </c>
      <c r="E8" s="1">
        <v>222</v>
      </c>
      <c r="F8" s="86">
        <v>0</v>
      </c>
      <c r="G8" s="86">
        <v>1</v>
      </c>
      <c r="H8" s="85">
        <v>3</v>
      </c>
      <c r="I8" s="85">
        <v>4</v>
      </c>
      <c r="J8" s="86">
        <v>2</v>
      </c>
      <c r="K8" s="16"/>
      <c r="L8" s="17"/>
      <c r="M8" s="113" t="s">
        <v>15</v>
      </c>
      <c r="N8" s="114">
        <f>SUM(N7:N7)</f>
        <v>12</v>
      </c>
      <c r="AZ8" s="139">
        <f>t_B5n5_P_AB1[[#This Row],[Offset]]-BA7</f>
        <v>228</v>
      </c>
      <c r="BA8" s="139">
        <f>INDEX(t_B5n5_P_Fixed[Offset],MATCH($B$38,t_B5n5_P[x],0),1)</f>
        <v>-592</v>
      </c>
      <c r="BB8" s="139">
        <v>1</v>
      </c>
      <c r="BC8" s="139">
        <v>970</v>
      </c>
      <c r="BD8" s="271" t="s">
        <v>450</v>
      </c>
      <c r="BG8" s="139">
        <f>t_B5n5_P_AB2[[#This Row],[Offset]]-BH7</f>
        <v>220</v>
      </c>
      <c r="BH8" s="139">
        <f>INDEX(t_B5n5_P_Fixed[Offset],MATCH($B$52,t_B5n5_P[x],0),1)</f>
        <v>-352</v>
      </c>
      <c r="BI8" s="139">
        <v>6</v>
      </c>
      <c r="BJ8" s="139">
        <v>1210</v>
      </c>
      <c r="BK8" s="273" t="s">
        <v>464</v>
      </c>
      <c r="BN8" s="139">
        <f>t_B5n5_P_AB3[[#This Row],[Offset]]-BO7</f>
        <v>172</v>
      </c>
      <c r="BO8" s="139">
        <f>INDEX(t_B5n5_P_Fixed[Offset],MATCH($B$44,t_B5n5_P[x],0),1)</f>
        <v>-492</v>
      </c>
      <c r="BP8" s="139">
        <v>1</v>
      </c>
      <c r="BQ8" s="139">
        <v>1070</v>
      </c>
      <c r="BR8" s="274" t="s">
        <v>456</v>
      </c>
      <c r="BT8" s="17"/>
      <c r="BU8" s="139">
        <f>t_B5n5_P_AB4[[#This Row],[Offset]]-BV7</f>
        <v>412</v>
      </c>
      <c r="BV8" s="139">
        <f>INDEX(t_B5n5_P_Fixed[Offset],MATCH($B$46,t_B5n5_P[x],0),1)</f>
        <v>-452</v>
      </c>
      <c r="BW8" s="139">
        <v>1</v>
      </c>
      <c r="BX8" s="139">
        <v>1110</v>
      </c>
      <c r="BY8" s="276" t="s">
        <v>458</v>
      </c>
      <c r="CA8" s="17"/>
      <c r="CB8" s="139">
        <f>t_B5n5_P_AB5[[#This Row],[Offset]]-CC7</f>
        <v>12</v>
      </c>
      <c r="CC8" s="139">
        <f>INDEX(t_B5n5_P_Fixed[Offset],MATCH($B$51,t_B5n5_P[x],0),1)</f>
        <v>-360</v>
      </c>
      <c r="CD8" s="139">
        <v>6</v>
      </c>
      <c r="CE8" s="139">
        <v>1202</v>
      </c>
      <c r="CF8" s="278" t="s">
        <v>463</v>
      </c>
      <c r="CH8" s="17"/>
      <c r="CI8" s="139">
        <f>t_B5n5_P_AB6[[#This Row],[Offset]]-CJ7</f>
        <v>364</v>
      </c>
      <c r="CJ8" s="139">
        <f>INDEX(t_B5n5_P_Fixed[Offset],MATCH($B$45,t_B5n5_P[x],0),1)</f>
        <v>-460</v>
      </c>
      <c r="CK8" s="139">
        <v>1</v>
      </c>
      <c r="CL8" s="139">
        <v>1102</v>
      </c>
      <c r="CM8" s="279" t="s">
        <v>457</v>
      </c>
      <c r="CO8" s="17"/>
      <c r="CP8" s="139">
        <f>t_B5n5_P_AB7[[#This Row],[Offset]]-CQ7</f>
        <v>116</v>
      </c>
      <c r="CQ8" s="139">
        <f>INDEX(t_B5n5_P_Fixed[Offset],MATCH($B$47,t_B5n5_P[x],0),1)</f>
        <v>-424</v>
      </c>
      <c r="CR8" s="139">
        <v>1</v>
      </c>
      <c r="CS8" s="139">
        <v>1138</v>
      </c>
      <c r="CT8" s="280" t="s">
        <v>459</v>
      </c>
      <c r="CV8" s="17"/>
      <c r="CW8" s="139">
        <f>t_B5n5_P_AB8[[#This Row],[Offset]]-CX7</f>
        <v>28</v>
      </c>
      <c r="CX8" s="139">
        <f>INDEX(t_B5n5_P_Fixed[Offset],MATCH($B$32,t_B5n5_P[x],0),1)</f>
        <v>-840</v>
      </c>
      <c r="CY8" s="139">
        <v>6</v>
      </c>
      <c r="CZ8" s="139">
        <v>722</v>
      </c>
      <c r="DA8" s="268" t="s">
        <v>444</v>
      </c>
      <c r="DC8" s="17"/>
      <c r="DD8" s="139">
        <f>t_B5n5_P_AB9[[#This Row],[Offset]]-DE7</f>
        <v>164</v>
      </c>
      <c r="DE8" s="139">
        <f>INDEX(t_B5n5_P_Fixed[Offset],MATCH($B$49,t_B5n5_P[x],0),1)</f>
        <v>-384</v>
      </c>
      <c r="DF8" s="139">
        <v>6</v>
      </c>
      <c r="DG8" s="139">
        <v>1178</v>
      </c>
      <c r="DH8" s="269" t="s">
        <v>461</v>
      </c>
      <c r="DJ8" s="17"/>
      <c r="DK8" s="139">
        <f>t_B5n5_P_AB10[[#This Row],[Offset]]-DL7</f>
        <v>76</v>
      </c>
      <c r="DL8" s="139">
        <f>INDEX(t_B5n5_P_Fixed[Offset],MATCH($B$43,t_B5n5_P[x],0),1)</f>
        <v>-508</v>
      </c>
      <c r="DM8" s="139">
        <v>6</v>
      </c>
      <c r="DN8" s="139">
        <v>1054</v>
      </c>
      <c r="DO8" s="270" t="s">
        <v>455</v>
      </c>
      <c r="DQ8" s="17"/>
      <c r="DR8" s="139">
        <f>t_B5n5_P_AB11[[#This Row],[Offset]]-DS7</f>
        <v>188</v>
      </c>
      <c r="DS8" s="139">
        <f>INDEX(t_B5n5_P_Fixed[Offset],MATCH($B$48,t_B5n5_P[x],0),1)</f>
        <v>-420</v>
      </c>
      <c r="DT8" s="139">
        <v>1</v>
      </c>
      <c r="DU8" s="139">
        <v>1142</v>
      </c>
      <c r="DV8" s="284" t="s">
        <v>460</v>
      </c>
      <c r="DY8" s="139">
        <f>t_B5n5_P_AB12[[#This Row],[Offset]]-DZ7</f>
        <v>180</v>
      </c>
      <c r="DZ8" s="139">
        <f>INDEX(t_B5n5_P_Fixed[Offset],MATCH($B$35,t_B5n5_P[x],0),1)</f>
        <v>-668</v>
      </c>
      <c r="EA8" s="139">
        <v>6</v>
      </c>
      <c r="EB8" s="139">
        <v>894</v>
      </c>
      <c r="EC8" s="232" t="s">
        <v>447</v>
      </c>
      <c r="ED8" s="17"/>
    </row>
    <row r="9" spans="1:134" ht="15.75" thickBot="1" x14ac:dyDescent="0.3">
      <c r="A9" s="139">
        <v>4</v>
      </c>
      <c r="B9" s="1">
        <v>238</v>
      </c>
      <c r="C9" s="9">
        <f>ROUNDUP(t_B5n5_P_Fixed[[#This Row],[Fixed]]-$B$3,0)</f>
        <v>-1324</v>
      </c>
      <c r="D9" s="11">
        <f>t_B5n5_P[[#This Row],[x]]-E8</f>
        <v>16</v>
      </c>
      <c r="E9" s="1">
        <v>238</v>
      </c>
      <c r="F9" s="88">
        <v>0</v>
      </c>
      <c r="G9" s="88">
        <v>1</v>
      </c>
      <c r="H9" s="87">
        <v>4</v>
      </c>
      <c r="I9" s="87">
        <v>2</v>
      </c>
      <c r="J9" s="88">
        <v>3</v>
      </c>
      <c r="K9" s="16"/>
      <c r="L9" s="17"/>
      <c r="M9" s="115" t="s">
        <v>16</v>
      </c>
      <c r="N9" s="117">
        <v>24</v>
      </c>
      <c r="T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Z9" s="139">
        <f>t_B5n5_P_AB1[[#This Row],[Offset]]-BA8</f>
        <v>428</v>
      </c>
      <c r="BA9" s="6">
        <f>INDEX(t_B5n5_P_Fixed[Offset],MATCH($B$60,t_B5n5_P[x],0),1)</f>
        <v>-164</v>
      </c>
      <c r="BB9" s="6">
        <v>7</v>
      </c>
      <c r="BC9" s="6">
        <v>1398</v>
      </c>
      <c r="BD9" s="313" t="s">
        <v>472</v>
      </c>
      <c r="BE9" s="25" t="s">
        <v>0</v>
      </c>
      <c r="BG9" s="139">
        <f>t_B5n5_P_AB2[[#This Row],[Offset]]-BH8</f>
        <v>88</v>
      </c>
      <c r="BH9" s="6">
        <f>INDEX(t_B5n5_P_Fixed[Offset],MATCH($B$54,t_B5n5_P[x],0),1)</f>
        <v>-264</v>
      </c>
      <c r="BI9" s="6">
        <v>7</v>
      </c>
      <c r="BJ9" s="6">
        <v>1298</v>
      </c>
      <c r="BK9" s="373" t="s">
        <v>466</v>
      </c>
      <c r="BL9" s="25" t="s">
        <v>0</v>
      </c>
      <c r="BN9" s="139">
        <f>t_B5n5_P_AB3[[#This Row],[Offset]]-BO8</f>
        <v>296</v>
      </c>
      <c r="BO9" s="6">
        <f>INDEX(t_B5n5_P_Fixed[Offset],MATCH($B$58,t_B5n5_P[x],0),1)</f>
        <v>-196</v>
      </c>
      <c r="BP9" s="6">
        <v>7</v>
      </c>
      <c r="BQ9" s="6">
        <v>1366</v>
      </c>
      <c r="BR9" s="311" t="s">
        <v>470</v>
      </c>
      <c r="BS9" s="25" t="s">
        <v>0</v>
      </c>
      <c r="BT9" s="17"/>
      <c r="BU9" s="139">
        <f>t_B5n5_P_AB4[[#This Row],[Offset]]-BV8</f>
        <v>184</v>
      </c>
      <c r="BV9" s="6">
        <f>INDEX(t_B5n5_P_Fixed[Offset],MATCH($B$53,t_B5n5_P[x],0),1)</f>
        <v>-268</v>
      </c>
      <c r="BW9" s="6">
        <v>2</v>
      </c>
      <c r="BX9" s="6">
        <v>1294</v>
      </c>
      <c r="BY9" s="298" t="s">
        <v>465</v>
      </c>
      <c r="BZ9" s="25" t="s">
        <v>0</v>
      </c>
      <c r="CA9" s="17"/>
      <c r="CB9" s="139">
        <f>t_B5n5_P_AB5[[#This Row],[Offset]]-CC8</f>
        <v>288</v>
      </c>
      <c r="CC9" s="6">
        <f>INDEX(t_B5n5_P_Fixed[Offset],MATCH($B$64,t_B5n5_P[x],0),1)</f>
        <v>-72</v>
      </c>
      <c r="CD9" s="6">
        <v>7</v>
      </c>
      <c r="CE9" s="6">
        <v>1490</v>
      </c>
      <c r="CF9" s="307" t="s">
        <v>476</v>
      </c>
      <c r="CG9" s="25" t="s">
        <v>0</v>
      </c>
      <c r="CH9" s="17"/>
      <c r="CI9" s="139">
        <f>t_B5n5_P_AB6[[#This Row],[Offset]]-CJ8</f>
        <v>368</v>
      </c>
      <c r="CJ9" s="6">
        <f>INDEX(t_B5n5_P_Fixed[Offset],MATCH($B$62,t_B5n5_P[x],0),1)</f>
        <v>-92</v>
      </c>
      <c r="CK9" s="6">
        <v>2</v>
      </c>
      <c r="CL9" s="6">
        <v>1470</v>
      </c>
      <c r="CM9" s="297" t="s">
        <v>474</v>
      </c>
      <c r="CN9" s="25" t="s">
        <v>0</v>
      </c>
      <c r="CO9" s="17"/>
      <c r="CP9" s="139">
        <f>t_B5n5_P_AB7[[#This Row],[Offset]]-CQ8</f>
        <v>316</v>
      </c>
      <c r="CQ9" s="6">
        <f>INDEX(t_B5n5_P_Fixed[Offset],MATCH($B$61,t_B5n5_P[x],0),1)</f>
        <v>-108</v>
      </c>
      <c r="CR9" s="6">
        <v>7</v>
      </c>
      <c r="CS9" s="6">
        <v>1454</v>
      </c>
      <c r="CT9" s="374" t="s">
        <v>473</v>
      </c>
      <c r="CU9" s="25" t="s">
        <v>0</v>
      </c>
      <c r="CV9" s="17"/>
      <c r="CW9" s="139">
        <f>t_B5n5_P_AB8[[#This Row],[Offset]]-CX8</f>
        <v>672</v>
      </c>
      <c r="CX9" s="6">
        <f>INDEX(t_B5n5_P_Fixed[Offset],MATCH($B$59,t_B5n5_P[x],0),1)</f>
        <v>-168</v>
      </c>
      <c r="CY9" s="6">
        <v>7</v>
      </c>
      <c r="CZ9" s="6">
        <v>1394</v>
      </c>
      <c r="DA9" s="375" t="s">
        <v>471</v>
      </c>
      <c r="DB9" s="25" t="s">
        <v>0</v>
      </c>
      <c r="DC9" s="17"/>
      <c r="DD9" s="139">
        <f>t_B5n5_P_AB9[[#This Row],[Offset]]-DE8</f>
        <v>156</v>
      </c>
      <c r="DE9" s="6">
        <f>INDEX(t_B5n5_P_Fixed[Offset],MATCH($B$55,t_B5n5_P[x],0),1)</f>
        <v>-228</v>
      </c>
      <c r="DF9" s="6">
        <v>7</v>
      </c>
      <c r="DG9" s="6">
        <v>1334</v>
      </c>
      <c r="DH9" s="376" t="s">
        <v>467</v>
      </c>
      <c r="DI9" s="25" t="s">
        <v>0</v>
      </c>
      <c r="DJ9" s="17"/>
      <c r="DK9" s="139">
        <f>t_B5n5_P_AB10[[#This Row],[Offset]]-DL8</f>
        <v>304</v>
      </c>
      <c r="DL9" s="6">
        <f>INDEX(t_B5n5_P_Fixed[Offset],MATCH($B$57,t_B5n5_P[x],0),1)</f>
        <v>-204</v>
      </c>
      <c r="DM9" s="6">
        <v>7</v>
      </c>
      <c r="DN9" s="6">
        <v>1358</v>
      </c>
      <c r="DO9" s="362" t="s">
        <v>469</v>
      </c>
      <c r="DP9" s="25" t="s">
        <v>0</v>
      </c>
      <c r="DQ9" s="17"/>
      <c r="DR9" s="139">
        <f>t_B5n5_P_AB11[[#This Row],[Offset]]-DS8</f>
        <v>336</v>
      </c>
      <c r="DS9" s="6">
        <f>INDEX(t_B5n5_P_Fixed[Offset],MATCH($B$63,t_B5n5_P[x],0),1)</f>
        <v>-84</v>
      </c>
      <c r="DT9" s="6">
        <v>2</v>
      </c>
      <c r="DU9" s="6">
        <v>1478</v>
      </c>
      <c r="DV9" s="305" t="s">
        <v>475</v>
      </c>
      <c r="DW9" s="25" t="s">
        <v>0</v>
      </c>
      <c r="DY9" s="139">
        <f>t_B5n5_P_AB12[[#This Row],[Offset]]-DZ8</f>
        <v>452</v>
      </c>
      <c r="DZ9" s="6">
        <f>INDEX(t_B5n5_P_Fixed[Offset],MATCH($B$56,t_B5n5_P[x],0),1)</f>
        <v>-216</v>
      </c>
      <c r="EA9" s="6">
        <v>7</v>
      </c>
      <c r="EB9" s="6">
        <v>1346</v>
      </c>
      <c r="EC9" s="227" t="s">
        <v>468</v>
      </c>
      <c r="ED9" s="17"/>
    </row>
    <row r="10" spans="1:134" x14ac:dyDescent="0.25">
      <c r="A10" s="139">
        <v>5</v>
      </c>
      <c r="B10" s="1">
        <v>242</v>
      </c>
      <c r="C10" s="9">
        <f>ROUNDUP(t_B5n5_P_Fixed[[#This Row],[Fixed]]-$B$3,0)</f>
        <v>-1320</v>
      </c>
      <c r="D10" s="11">
        <f>t_B5n5_P[[#This Row],[x]]-E9</f>
        <v>4</v>
      </c>
      <c r="E10" s="1">
        <v>242</v>
      </c>
      <c r="F10" s="55">
        <v>0</v>
      </c>
      <c r="G10" s="55">
        <v>1</v>
      </c>
      <c r="H10" s="54">
        <v>4</v>
      </c>
      <c r="I10" s="54">
        <v>3</v>
      </c>
      <c r="J10" s="55">
        <v>2</v>
      </c>
      <c r="K10" s="16"/>
      <c r="L10" s="17"/>
      <c r="N10" s="17"/>
      <c r="AZ10" s="139">
        <f>t_B5n5_P_AB1[[#This Row],[Offset]]-BA9</f>
        <v>328</v>
      </c>
      <c r="BA10" s="139">
        <f>INDEX(t_B5n5_P_Fixed[Offset],MATCH($B$69,t_B5n5_P[x],0),1)</f>
        <v>164</v>
      </c>
      <c r="BB10" s="139">
        <v>2</v>
      </c>
      <c r="BC10" s="139">
        <v>1726</v>
      </c>
      <c r="BD10" s="271" t="s">
        <v>481</v>
      </c>
      <c r="BG10" s="139">
        <f>t_B5n5_P_AB2[[#This Row],[Offset]]-BH9</f>
        <v>528</v>
      </c>
      <c r="BH10" s="139">
        <f>INDEX(t_B5n5_P_Fixed[Offset],MATCH($B$75,t_B5n5_P[x],0),1)</f>
        <v>264</v>
      </c>
      <c r="BI10" s="139">
        <v>2</v>
      </c>
      <c r="BJ10" s="139">
        <v>1826</v>
      </c>
      <c r="BK10" s="255" t="s">
        <v>487</v>
      </c>
      <c r="BN10" s="139">
        <f>t_B5n5_P_AB3[[#This Row],[Offset]]-BO9</f>
        <v>392</v>
      </c>
      <c r="BO10" s="139">
        <f>INDEX(t_B5n5_P_Fixed[Offset],MATCH($B$71,t_B5n5_P[x],0),1)</f>
        <v>196</v>
      </c>
      <c r="BP10" s="139">
        <v>2</v>
      </c>
      <c r="BQ10" s="139">
        <v>1758</v>
      </c>
      <c r="BR10" s="274" t="s">
        <v>483</v>
      </c>
      <c r="BT10" s="17"/>
      <c r="BU10" s="139">
        <f>t_B5n5_P_AB4[[#This Row],[Offset]]-BV9</f>
        <v>536</v>
      </c>
      <c r="BV10" s="139">
        <f>INDEX(t_B5n5_P_Fixed[Offset],MATCH($B$76,t_B5n5_P[x],0),1)</f>
        <v>268</v>
      </c>
      <c r="BW10" s="139">
        <v>7</v>
      </c>
      <c r="BX10" s="139">
        <v>1830</v>
      </c>
      <c r="BY10" s="226" t="s">
        <v>488</v>
      </c>
      <c r="CA10" s="17"/>
      <c r="CB10" s="139">
        <f>t_B5n5_P_AB5[[#This Row],[Offset]]-CC9</f>
        <v>144</v>
      </c>
      <c r="CC10" s="139">
        <f>INDEX(t_B5n5_P_Fixed[Offset],MATCH($B$65,t_B5n5_P[x],0),1)</f>
        <v>72</v>
      </c>
      <c r="CD10" s="139">
        <v>2</v>
      </c>
      <c r="CE10" s="139">
        <v>1634</v>
      </c>
      <c r="CF10" s="277" t="s">
        <v>477</v>
      </c>
      <c r="CH10" s="17"/>
      <c r="CI10" s="139">
        <f>t_B5n5_P_AB6[[#This Row],[Offset]]-CJ9</f>
        <v>184</v>
      </c>
      <c r="CJ10" s="139">
        <f>INDEX(t_B5n5_P_Fixed[Offset],MATCH($B$67,t_B5n5_P[x],0),1)</f>
        <v>92</v>
      </c>
      <c r="CK10" s="139">
        <v>7</v>
      </c>
      <c r="CL10" s="139">
        <v>1654</v>
      </c>
      <c r="CM10" s="265" t="s">
        <v>479</v>
      </c>
      <c r="CO10" s="17"/>
      <c r="CP10" s="139">
        <f>t_B5n5_P_AB7[[#This Row],[Offset]]-CQ9</f>
        <v>216</v>
      </c>
      <c r="CQ10" s="139">
        <f>INDEX(t_B5n5_P_Fixed[Offset],MATCH($B$68,t_B5n5_P[x],0),1)</f>
        <v>108</v>
      </c>
      <c r="CR10" s="139">
        <v>2</v>
      </c>
      <c r="CS10" s="139">
        <v>1670</v>
      </c>
      <c r="CT10" s="280" t="s">
        <v>480</v>
      </c>
      <c r="CV10" s="17"/>
      <c r="CW10" s="139">
        <f>t_B5n5_P_AB8[[#This Row],[Offset]]-CX9</f>
        <v>336</v>
      </c>
      <c r="CX10" s="139">
        <f>INDEX(t_B5n5_P_Fixed[Offset],MATCH($B$70,t_B5n5_P[x],0),1)</f>
        <v>168</v>
      </c>
      <c r="CY10" s="139">
        <v>2</v>
      </c>
      <c r="CZ10" s="139">
        <v>1730</v>
      </c>
      <c r="DA10" s="281" t="s">
        <v>482</v>
      </c>
      <c r="DC10" s="17"/>
      <c r="DD10" s="139">
        <f>t_B5n5_P_AB9[[#This Row],[Offset]]-DE9</f>
        <v>456</v>
      </c>
      <c r="DE10" s="139">
        <f>INDEX(t_B5n5_P_Fixed[Offset],MATCH($B$74,t_B5n5_P[x],0),1)</f>
        <v>228</v>
      </c>
      <c r="DF10" s="139">
        <v>2</v>
      </c>
      <c r="DG10" s="139">
        <v>1790</v>
      </c>
      <c r="DH10" s="282" t="s">
        <v>486</v>
      </c>
      <c r="DJ10" s="17"/>
      <c r="DK10" s="139">
        <f>t_B5n5_P_AB10[[#This Row],[Offset]]-DL9</f>
        <v>408</v>
      </c>
      <c r="DL10" s="139">
        <f>INDEX(t_B5n5_P_Fixed[Offset],MATCH($B$72,t_B5n5_P[x],0),1)</f>
        <v>204</v>
      </c>
      <c r="DM10" s="139">
        <v>2</v>
      </c>
      <c r="DN10" s="139">
        <v>1766</v>
      </c>
      <c r="DO10" s="283" t="s">
        <v>484</v>
      </c>
      <c r="DQ10" s="17"/>
      <c r="DR10" s="139">
        <f>t_B5n5_P_AB11[[#This Row],[Offset]]-DS9</f>
        <v>168</v>
      </c>
      <c r="DS10" s="139">
        <f>INDEX(t_B5n5_P_Fixed[Offset],MATCH($B$66,t_B5n5_P[x],0),1)</f>
        <v>84</v>
      </c>
      <c r="DT10" s="139">
        <v>7</v>
      </c>
      <c r="DU10" s="139">
        <v>1646</v>
      </c>
      <c r="DV10" s="285" t="s">
        <v>478</v>
      </c>
      <c r="DY10" s="139">
        <f>t_B5n5_P_AB12[[#This Row],[Offset]]-DZ9</f>
        <v>432</v>
      </c>
      <c r="DZ10" s="139">
        <f>INDEX(t_B5n5_P_Fixed[Offset],MATCH($B$73,t_B5n5_P[x],0),1)</f>
        <v>216</v>
      </c>
      <c r="EA10" s="139">
        <v>2</v>
      </c>
      <c r="EB10" s="139">
        <v>1778</v>
      </c>
      <c r="EC10" s="286" t="s">
        <v>485</v>
      </c>
      <c r="ED10" s="17"/>
    </row>
    <row r="11" spans="1:134" x14ac:dyDescent="0.25">
      <c r="A11" s="139">
        <v>6</v>
      </c>
      <c r="B11" s="1">
        <v>294</v>
      </c>
      <c r="C11" s="9">
        <f>ROUNDUP(t_B5n5_P_Fixed[[#This Row],[Fixed]]-$B$3,0)</f>
        <v>-1268</v>
      </c>
      <c r="D11" s="11">
        <f>t_B5n5_P[[#This Row],[x]]-E10</f>
        <v>52</v>
      </c>
      <c r="E11" s="1">
        <v>294</v>
      </c>
      <c r="F11" s="51">
        <v>0</v>
      </c>
      <c r="G11" s="51">
        <v>2</v>
      </c>
      <c r="H11" s="50">
        <v>1</v>
      </c>
      <c r="I11" s="50">
        <v>3</v>
      </c>
      <c r="J11" s="51">
        <v>4</v>
      </c>
      <c r="K11" s="16"/>
      <c r="L11" s="17"/>
      <c r="N11" s="17"/>
      <c r="Q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Z11" s="139">
        <f>t_B5n5_P_AB1[[#This Row],[Offset]]-BA10</f>
        <v>428</v>
      </c>
      <c r="BA11" s="139">
        <f>INDEX(t_B5n5_P_Fixed[Offset],MATCH($B$91,t_B5n5_P[x],0),1)</f>
        <v>592</v>
      </c>
      <c r="BB11" s="139">
        <v>8</v>
      </c>
      <c r="BC11" s="139">
        <v>2154</v>
      </c>
      <c r="BD11" s="272" t="s">
        <v>503</v>
      </c>
      <c r="BG11" s="139">
        <f>t_B5n5_P_AB2[[#This Row],[Offset]]-BH10</f>
        <v>88</v>
      </c>
      <c r="BH11" s="139">
        <f>INDEX(t_B5n5_P_Fixed[Offset],MATCH($B$77,t_B5n5_P[x],0),1)</f>
        <v>352</v>
      </c>
      <c r="BI11" s="139">
        <v>3</v>
      </c>
      <c r="BJ11" s="139">
        <v>1914</v>
      </c>
      <c r="BK11" s="255" t="s">
        <v>489</v>
      </c>
      <c r="BN11" s="139">
        <f>t_B5n5_P_AB3[[#This Row],[Offset]]-BO10</f>
        <v>296</v>
      </c>
      <c r="BO11" s="139">
        <f>INDEX(t_B5n5_P_Fixed[Offset],MATCH($B$85,t_B5n5_P[x],0),1)</f>
        <v>492</v>
      </c>
      <c r="BP11" s="139">
        <v>8</v>
      </c>
      <c r="BQ11" s="139">
        <v>2054</v>
      </c>
      <c r="BR11" s="275" t="s">
        <v>497</v>
      </c>
      <c r="BT11" s="17"/>
      <c r="BU11" s="139">
        <f>t_B5n5_P_AB4[[#This Row],[Offset]]-BV10</f>
        <v>184</v>
      </c>
      <c r="BV11" s="139">
        <f>INDEX(t_B5n5_P_Fixed[Offset],MATCH($B$83,t_B5n5_P[x],0),1)</f>
        <v>452</v>
      </c>
      <c r="BW11" s="139">
        <v>8</v>
      </c>
      <c r="BX11" s="139">
        <v>2014</v>
      </c>
      <c r="BY11" s="226" t="s">
        <v>495</v>
      </c>
      <c r="CA11" s="17"/>
      <c r="CB11" s="139">
        <f>t_B5n5_P_AB5[[#This Row],[Offset]]-CC10</f>
        <v>288</v>
      </c>
      <c r="CC11" s="139">
        <f>INDEX(t_B5n5_P_Fixed[Offset],MATCH($B$78,t_B5n5_P[x],0),1)</f>
        <v>360</v>
      </c>
      <c r="CD11" s="139">
        <v>3</v>
      </c>
      <c r="CE11" s="139">
        <v>1922</v>
      </c>
      <c r="CF11" s="277" t="s">
        <v>490</v>
      </c>
      <c r="CH11" s="17"/>
      <c r="CI11" s="139">
        <f>t_B5n5_P_AB6[[#This Row],[Offset]]-CJ10</f>
        <v>368</v>
      </c>
      <c r="CJ11" s="139">
        <f>INDEX(t_B5n5_P_Fixed[Offset],MATCH($B$84,t_B5n5_P[x],0),1)</f>
        <v>460</v>
      </c>
      <c r="CK11" s="139">
        <v>8</v>
      </c>
      <c r="CL11" s="139">
        <v>2022</v>
      </c>
      <c r="CM11" s="265" t="s">
        <v>496</v>
      </c>
      <c r="CO11" s="17"/>
      <c r="CP11" s="139">
        <f>t_B5n5_P_AB7[[#This Row],[Offset]]-CQ10</f>
        <v>316</v>
      </c>
      <c r="CQ11" s="139">
        <f>INDEX(t_B5n5_P_Fixed[Offset],MATCH($B$82,t_B5n5_P[x],0),1)</f>
        <v>424</v>
      </c>
      <c r="CR11" s="139">
        <v>8</v>
      </c>
      <c r="CS11" s="139">
        <v>1986</v>
      </c>
      <c r="CT11" s="40" t="s">
        <v>494</v>
      </c>
      <c r="CV11" s="17"/>
      <c r="CW11" s="139">
        <f>t_B5n5_P_AB8[[#This Row],[Offset]]-CX10</f>
        <v>672</v>
      </c>
      <c r="CX11" s="139">
        <f>INDEX(t_B5n5_P_Fixed[Offset],MATCH($B$97,t_B5n5_P[x],0),1)</f>
        <v>840</v>
      </c>
      <c r="CY11" s="139">
        <v>3</v>
      </c>
      <c r="CZ11" s="139">
        <v>2402</v>
      </c>
      <c r="DA11" s="281" t="s">
        <v>509</v>
      </c>
      <c r="DC11" s="17"/>
      <c r="DD11" s="139">
        <f>t_B5n5_P_AB9[[#This Row],[Offset]]-DE10</f>
        <v>156</v>
      </c>
      <c r="DE11" s="139">
        <f>INDEX(t_B5n5_P_Fixed[Offset],MATCH($B$80,t_B5n5_P[x],0),1)</f>
        <v>384</v>
      </c>
      <c r="DF11" s="139">
        <v>3</v>
      </c>
      <c r="DG11" s="139">
        <v>1946</v>
      </c>
      <c r="DH11" s="282" t="s">
        <v>492</v>
      </c>
      <c r="DJ11" s="17"/>
      <c r="DK11" s="139">
        <f>t_B5n5_P_AB10[[#This Row],[Offset]]-DL10</f>
        <v>304</v>
      </c>
      <c r="DL11" s="139">
        <f>INDEX(t_B5n5_P_Fixed[Offset],MATCH($B$86,t_B5n5_P[x],0),1)</f>
        <v>508</v>
      </c>
      <c r="DM11" s="139">
        <v>3</v>
      </c>
      <c r="DN11" s="139">
        <v>2070</v>
      </c>
      <c r="DO11" s="283" t="s">
        <v>498</v>
      </c>
      <c r="DQ11" s="17"/>
      <c r="DR11" s="139">
        <f>t_B5n5_P_AB11[[#This Row],[Offset]]-DS10</f>
        <v>336</v>
      </c>
      <c r="DS11" s="139">
        <f>INDEX(t_B5n5_P_Fixed[Offset],MATCH($B$81,t_B5n5_P[x],0),1)</f>
        <v>420</v>
      </c>
      <c r="DT11" s="139">
        <v>8</v>
      </c>
      <c r="DU11" s="139">
        <v>1982</v>
      </c>
      <c r="DV11" s="285" t="s">
        <v>493</v>
      </c>
      <c r="DY11" s="139">
        <f>t_B5n5_P_AB12[[#This Row],[Offset]]-DZ10</f>
        <v>452</v>
      </c>
      <c r="DZ11" s="139">
        <f>INDEX(t_B5n5_P_Fixed[Offset],MATCH($B$94,t_B5n5_P[x],0),1)</f>
        <v>668</v>
      </c>
      <c r="EA11" s="139">
        <v>3</v>
      </c>
      <c r="EB11" s="139">
        <v>2230</v>
      </c>
      <c r="EC11" s="286" t="s">
        <v>506</v>
      </c>
      <c r="ED11" s="17"/>
    </row>
    <row r="12" spans="1:134" x14ac:dyDescent="0.25">
      <c r="A12" s="139">
        <v>7</v>
      </c>
      <c r="B12" s="1">
        <v>298</v>
      </c>
      <c r="C12" s="9">
        <f>ROUNDUP(t_B5n5_P_Fixed[[#This Row],[Fixed]]-$B$3,0)</f>
        <v>-1264</v>
      </c>
      <c r="D12" s="11">
        <f>t_B5n5_P[[#This Row],[x]]-E11</f>
        <v>4</v>
      </c>
      <c r="E12" s="139">
        <v>298</v>
      </c>
      <c r="F12" s="61">
        <v>0</v>
      </c>
      <c r="G12" s="61">
        <v>2</v>
      </c>
      <c r="H12" s="60">
        <v>1</v>
      </c>
      <c r="I12" s="60">
        <v>4</v>
      </c>
      <c r="J12" s="61">
        <v>3</v>
      </c>
      <c r="N12" s="17"/>
      <c r="AZ12" s="139">
        <f>t_B5n5_P_AB1[[#This Row],[Offset]]-BA11</f>
        <v>228</v>
      </c>
      <c r="BA12" s="139">
        <f>INDEX(t_B5n5_P_Fixed[Offset],MATCH($B$95,t_B5n5_P[x],0),1)</f>
        <v>820</v>
      </c>
      <c r="BB12" s="139">
        <v>3</v>
      </c>
      <c r="BC12" s="139">
        <v>2382</v>
      </c>
      <c r="BD12" s="271" t="s">
        <v>507</v>
      </c>
      <c r="BG12" s="139">
        <f>t_B5n5_P_AB2[[#This Row],[Offset]]-BH11</f>
        <v>220</v>
      </c>
      <c r="BH12" s="139">
        <f>INDEX(t_B5n5_P_Fixed[Offset],MATCH($B$89,t_B5n5_P[x],0),1)</f>
        <v>572</v>
      </c>
      <c r="BI12" s="139">
        <v>8</v>
      </c>
      <c r="BJ12" s="139">
        <v>2134</v>
      </c>
      <c r="BK12" s="273" t="s">
        <v>501</v>
      </c>
      <c r="BN12" s="139">
        <f>t_B5n5_P_AB3[[#This Row],[Offset]]-BO11</f>
        <v>172</v>
      </c>
      <c r="BO12" s="139">
        <f>INDEX(t_B5n5_P_Fixed[Offset],MATCH($B$93,t_B5n5_P[x],0),1)</f>
        <v>664</v>
      </c>
      <c r="BP12" s="139">
        <v>3</v>
      </c>
      <c r="BQ12" s="139">
        <v>2226</v>
      </c>
      <c r="BR12" s="274" t="s">
        <v>505</v>
      </c>
      <c r="BT12" s="17"/>
      <c r="BU12" s="139">
        <f>t_B5n5_P_AB4[[#This Row],[Offset]]-BV11</f>
        <v>412</v>
      </c>
      <c r="BV12" s="139">
        <f>INDEX(t_B5n5_P_Fixed[Offset],MATCH($B$99,t_B5n5_P[x],0),1)</f>
        <v>864</v>
      </c>
      <c r="BW12" s="139">
        <v>3</v>
      </c>
      <c r="BX12" s="139">
        <v>2426</v>
      </c>
      <c r="BY12" s="276" t="s">
        <v>511</v>
      </c>
      <c r="CA12" s="17"/>
      <c r="CB12" s="139">
        <f>t_B5n5_P_AB5[[#This Row],[Offset]]-CC11</f>
        <v>12</v>
      </c>
      <c r="CC12" s="139">
        <f>INDEX(t_B5n5_P_Fixed[Offset],MATCH($B$79,t_B5n5_P[x],0),1)</f>
        <v>372</v>
      </c>
      <c r="CD12" s="139">
        <v>8</v>
      </c>
      <c r="CE12" s="139">
        <v>1934</v>
      </c>
      <c r="CF12" s="278" t="s">
        <v>491</v>
      </c>
      <c r="CH12" s="17"/>
      <c r="CI12" s="139">
        <f>t_B5n5_P_AB6[[#This Row],[Offset]]-CJ11</f>
        <v>364</v>
      </c>
      <c r="CJ12" s="139">
        <f>INDEX(t_B5n5_P_Fixed[Offset],MATCH($B$96,t_B5n5_P[x],0),1)</f>
        <v>824</v>
      </c>
      <c r="CK12" s="139">
        <v>3</v>
      </c>
      <c r="CL12" s="139">
        <v>2386</v>
      </c>
      <c r="CM12" s="279" t="s">
        <v>508</v>
      </c>
      <c r="CO12" s="17"/>
      <c r="CP12" s="139">
        <f>t_B5n5_P_AB7[[#This Row],[Offset]]-CQ11</f>
        <v>116</v>
      </c>
      <c r="CQ12" s="139">
        <f>INDEX(t_B5n5_P_Fixed[Offset],MATCH($B$87,t_B5n5_P[x],0),1)</f>
        <v>540</v>
      </c>
      <c r="CR12" s="139">
        <v>3</v>
      </c>
      <c r="CS12" s="139">
        <v>2102</v>
      </c>
      <c r="CT12" s="280" t="s">
        <v>499</v>
      </c>
      <c r="CV12" s="17"/>
      <c r="CW12" s="139">
        <f>t_B5n5_P_AB8[[#This Row],[Offset]]-CX11</f>
        <v>28</v>
      </c>
      <c r="CX12" s="139">
        <f>INDEX(t_B5n5_P_Fixed[Offset],MATCH($B$100,t_B5n5_P[x],0),1)</f>
        <v>868</v>
      </c>
      <c r="CY12" s="139">
        <v>8</v>
      </c>
      <c r="CZ12" s="139">
        <v>2430</v>
      </c>
      <c r="DA12" s="268" t="s">
        <v>512</v>
      </c>
      <c r="DC12" s="17"/>
      <c r="DD12" s="139">
        <f>t_B5n5_P_AB9[[#This Row],[Offset]]-DE11</f>
        <v>164</v>
      </c>
      <c r="DE12" s="139">
        <f>INDEX(t_B5n5_P_Fixed[Offset],MATCH($B$88,t_B5n5_P[x],0),1)</f>
        <v>548</v>
      </c>
      <c r="DF12" s="139">
        <v>8</v>
      </c>
      <c r="DG12" s="139">
        <v>2110</v>
      </c>
      <c r="DH12" s="269" t="s">
        <v>500</v>
      </c>
      <c r="DJ12" s="17"/>
      <c r="DK12" s="139">
        <f>t_B5n5_P_AB10[[#This Row],[Offset]]-DL11</f>
        <v>76</v>
      </c>
      <c r="DL12" s="139">
        <f>INDEX(t_B5n5_P_Fixed[Offset],MATCH($B$90,t_B5n5_P[x],0),1)</f>
        <v>584</v>
      </c>
      <c r="DM12" s="139">
        <v>8</v>
      </c>
      <c r="DN12" s="139">
        <v>2146</v>
      </c>
      <c r="DO12" s="270" t="s">
        <v>502</v>
      </c>
      <c r="DQ12" s="17"/>
      <c r="DR12" s="139">
        <f>t_B5n5_P_AB11[[#This Row],[Offset]]-DS11</f>
        <v>188</v>
      </c>
      <c r="DS12" s="139">
        <f>INDEX(t_B5n5_P_Fixed[Offset],MATCH($B$92,t_B5n5_P[x],0),1)</f>
        <v>608</v>
      </c>
      <c r="DT12" s="139">
        <v>3</v>
      </c>
      <c r="DU12" s="139">
        <v>2170</v>
      </c>
      <c r="DV12" s="284" t="s">
        <v>504</v>
      </c>
      <c r="DY12" s="139">
        <f>t_B5n5_P_AB12[[#This Row],[Offset]]-DZ11</f>
        <v>180</v>
      </c>
      <c r="DZ12" s="139">
        <f>INDEX(t_B5n5_P_Fixed[Offset],MATCH($B$98,t_B5n5_P[x],0),1)</f>
        <v>848</v>
      </c>
      <c r="EA12" s="139">
        <v>8</v>
      </c>
      <c r="EB12" s="139">
        <v>2410</v>
      </c>
      <c r="EC12" s="232" t="s">
        <v>510</v>
      </c>
      <c r="ED12" s="17"/>
    </row>
    <row r="13" spans="1:134" x14ac:dyDescent="0.25">
      <c r="A13" s="139">
        <v>8</v>
      </c>
      <c r="B13" s="1">
        <v>334</v>
      </c>
      <c r="C13" s="9">
        <f>ROUNDUP(t_B5n5_P_Fixed[[#This Row],[Fixed]]-$B$3,0)</f>
        <v>-1228</v>
      </c>
      <c r="D13" s="11">
        <f>t_B5n5_P[[#This Row],[x]]-E12</f>
        <v>36</v>
      </c>
      <c r="E13" s="1">
        <v>334</v>
      </c>
      <c r="F13" s="82">
        <v>0</v>
      </c>
      <c r="G13" s="82">
        <v>2</v>
      </c>
      <c r="H13" s="81">
        <v>3</v>
      </c>
      <c r="I13" s="81">
        <v>1</v>
      </c>
      <c r="J13" s="82">
        <v>4</v>
      </c>
      <c r="N13" s="17"/>
      <c r="AZ13" s="139">
        <f>t_B5n5_P_AB1[[#This Row],[Offset]]-BA12</f>
        <v>156</v>
      </c>
      <c r="BA13" s="139">
        <f>INDEX(t_B5n5_P_Fixed[Offset],MATCH($B$101,t_B5n5_P[x],0),1)</f>
        <v>976</v>
      </c>
      <c r="BB13" s="139">
        <v>4</v>
      </c>
      <c r="BC13" s="139">
        <v>2538</v>
      </c>
      <c r="BD13" s="271" t="s">
        <v>513</v>
      </c>
      <c r="BG13" s="139">
        <f>t_B5n5_P_AB2[[#This Row],[Offset]]-BH12</f>
        <v>748</v>
      </c>
      <c r="BH13" s="139">
        <f>INDEX(t_B5n5_P_Fixed[Offset],MATCH($B$119,t_B5n5_P[x],0),1)</f>
        <v>1320</v>
      </c>
      <c r="BI13" s="139">
        <v>4</v>
      </c>
      <c r="BJ13" s="139">
        <v>2882</v>
      </c>
      <c r="BK13" s="255" t="s">
        <v>531</v>
      </c>
      <c r="BN13" s="139">
        <f>t_B5n5_P_AB3[[#This Row],[Offset]]-BO12</f>
        <v>316</v>
      </c>
      <c r="BO13" s="139">
        <f>INDEX(t_B5n5_P_Fixed[Offset],MATCH($B$102,t_B5n5_P[x],0),1)</f>
        <v>980</v>
      </c>
      <c r="BP13" s="139">
        <v>4</v>
      </c>
      <c r="BQ13" s="139">
        <v>2542</v>
      </c>
      <c r="BR13" s="274" t="s">
        <v>514</v>
      </c>
      <c r="BT13" s="17"/>
      <c r="BU13" s="139">
        <f>t_B5n5_P_AB4[[#This Row],[Offset]]-BV12</f>
        <v>332</v>
      </c>
      <c r="BV13" s="139">
        <f>INDEX(t_B5n5_P_Fixed[Offset],MATCH($B$113,t_B5n5_P[x],0),1)</f>
        <v>1196</v>
      </c>
      <c r="BW13" s="139">
        <v>4</v>
      </c>
      <c r="BX13" s="139">
        <v>2758</v>
      </c>
      <c r="BY13" s="276" t="s">
        <v>525</v>
      </c>
      <c r="CA13" s="17"/>
      <c r="CB13" s="139">
        <f>t_B5n5_P_AB5[[#This Row],[Offset]]-CC12</f>
        <v>892</v>
      </c>
      <c r="CC13" s="139">
        <f>INDEX(t_B5n5_P_Fixed[Offset],MATCH($B$117,t_B5n5_P[x],0),1)</f>
        <v>1264</v>
      </c>
      <c r="CD13" s="139">
        <v>4</v>
      </c>
      <c r="CE13" s="139">
        <v>2826</v>
      </c>
      <c r="CF13" s="277" t="s">
        <v>529</v>
      </c>
      <c r="CH13" s="17"/>
      <c r="CI13" s="139">
        <f>t_B5n5_P_AB6[[#This Row],[Offset]]-CJ12</f>
        <v>172</v>
      </c>
      <c r="CJ13" s="139">
        <f>INDEX(t_B5n5_P_Fixed[Offset],MATCH($B$103,t_B5n5_P[x],0),1)</f>
        <v>996</v>
      </c>
      <c r="CK13" s="139">
        <v>4</v>
      </c>
      <c r="CL13" s="139">
        <v>2558</v>
      </c>
      <c r="CM13" s="279" t="s">
        <v>515</v>
      </c>
      <c r="CO13" s="17"/>
      <c r="CP13" s="139">
        <f>t_B5n5_P_AB7[[#This Row],[Offset]]-CQ12</f>
        <v>464</v>
      </c>
      <c r="CQ13" s="139">
        <f>INDEX(t_B5n5_P_Fixed[Offset],MATCH($B$104,t_B5n5_P[x],0),1)</f>
        <v>1004</v>
      </c>
      <c r="CR13" s="139">
        <v>4</v>
      </c>
      <c r="CS13" s="139">
        <v>2566</v>
      </c>
      <c r="CT13" s="280" t="s">
        <v>516</v>
      </c>
      <c r="CV13" s="17"/>
      <c r="CW13" s="139">
        <f>t_B5n5_P_AB8[[#This Row],[Offset]]-CX12</f>
        <v>208</v>
      </c>
      <c r="CX13" s="139">
        <f>INDEX(t_B5n5_P_Fixed[Offset],MATCH($B$107,t_B5n5_P[x],0),1)</f>
        <v>1076</v>
      </c>
      <c r="CY13" s="139">
        <v>4</v>
      </c>
      <c r="CZ13" s="139">
        <v>2638</v>
      </c>
      <c r="DA13" s="281" t="s">
        <v>519</v>
      </c>
      <c r="DC13" s="17"/>
      <c r="DD13" s="139">
        <f>t_B5n5_P_AB9[[#This Row],[Offset]]-DE12</f>
        <v>592</v>
      </c>
      <c r="DE13" s="139">
        <f>INDEX(t_B5n5_P_Fixed[Offset],MATCH($B$111,t_B5n5_P[x],0),1)</f>
        <v>1140</v>
      </c>
      <c r="DF13" s="139">
        <v>4</v>
      </c>
      <c r="DG13" s="139">
        <v>2702</v>
      </c>
      <c r="DH13" s="282" t="s">
        <v>523</v>
      </c>
      <c r="DJ13" s="17"/>
      <c r="DK13" s="139">
        <f>t_B5n5_P_AB10[[#This Row],[Offset]]-DL12</f>
        <v>436</v>
      </c>
      <c r="DL13" s="139">
        <f>INDEX(t_B5n5_P_Fixed[Offset],MATCH($B$105,t_B5n5_P[x],0),1)</f>
        <v>1020</v>
      </c>
      <c r="DM13" s="139">
        <v>4</v>
      </c>
      <c r="DN13" s="139">
        <v>2582</v>
      </c>
      <c r="DO13" s="283" t="s">
        <v>517</v>
      </c>
      <c r="DQ13" s="17"/>
      <c r="DR13" s="139">
        <f>t_B5n5_P_AB11[[#This Row],[Offset]]-DS12</f>
        <v>416</v>
      </c>
      <c r="DS13" s="139">
        <f>INDEX(t_B5n5_P_Fixed[Offset],MATCH($B$106,t_B5n5_P[x],0),1)</f>
        <v>1024</v>
      </c>
      <c r="DT13" s="139">
        <v>4</v>
      </c>
      <c r="DU13" s="139">
        <v>2586</v>
      </c>
      <c r="DV13" s="284" t="s">
        <v>518</v>
      </c>
      <c r="DY13" s="139">
        <f>t_B5n5_P_AB12[[#This Row],[Offset]]-DZ12</f>
        <v>232</v>
      </c>
      <c r="DZ13" s="139">
        <f>INDEX(t_B5n5_P_Fixed[Offset],MATCH($B$108,t_B5n5_P[x],0),1)</f>
        <v>1080</v>
      </c>
      <c r="EA13" s="139">
        <v>4</v>
      </c>
      <c r="EB13" s="139">
        <v>2642</v>
      </c>
      <c r="EC13" s="286" t="s">
        <v>520</v>
      </c>
      <c r="ED13" s="17"/>
    </row>
    <row r="14" spans="1:134" x14ac:dyDescent="0.25">
      <c r="A14" s="139">
        <v>9</v>
      </c>
      <c r="B14" s="1">
        <v>346</v>
      </c>
      <c r="C14" s="9">
        <f>ROUNDUP(t_B5n5_P_Fixed[[#This Row],[Fixed]]-$B$3,0)</f>
        <v>-1216</v>
      </c>
      <c r="D14" s="11">
        <f>t_B5n5_P[[#This Row],[x]]-E13</f>
        <v>12</v>
      </c>
      <c r="E14" s="1">
        <v>346</v>
      </c>
      <c r="F14" s="84">
        <v>0</v>
      </c>
      <c r="G14" s="84">
        <v>2</v>
      </c>
      <c r="H14" s="83">
        <v>3</v>
      </c>
      <c r="I14" s="83">
        <v>4</v>
      </c>
      <c r="J14" s="84">
        <v>1</v>
      </c>
      <c r="N14" s="17"/>
      <c r="AZ14" s="139">
        <f>t_B5n5_P_AB1[[#This Row],[Offset]]-BA13</f>
        <v>392</v>
      </c>
      <c r="BA14" s="139">
        <f>INDEX(t_B5n5_P_Fixed[Offset],MATCH($B$124,t_B5n5_P[x],0),1)</f>
        <v>1368</v>
      </c>
      <c r="BB14" s="139">
        <v>9</v>
      </c>
      <c r="BC14" s="139">
        <v>2930</v>
      </c>
      <c r="BD14" s="272" t="s">
        <v>536</v>
      </c>
      <c r="BG14" s="139">
        <f>t_B5n5_P_AB2[[#This Row],[Offset]]-BH13</f>
        <v>44</v>
      </c>
      <c r="BH14" s="139">
        <f>INDEX(t_B5n5_P_Fixed[Offset],MATCH($B$123,t_B5n5_P[x],0),1)</f>
        <v>1364</v>
      </c>
      <c r="BI14" s="139">
        <v>9</v>
      </c>
      <c r="BJ14" s="139">
        <v>2926</v>
      </c>
      <c r="BK14" s="273" t="s">
        <v>535</v>
      </c>
      <c r="BN14" s="139">
        <f>t_B5n5_P_AB3[[#This Row],[Offset]]-BO13</f>
        <v>368</v>
      </c>
      <c r="BO14" s="139">
        <f>INDEX(t_B5n5_P_Fixed[Offset],MATCH($B$122,t_B5n5_P[x],0),1)</f>
        <v>1348</v>
      </c>
      <c r="BP14" s="139">
        <v>9</v>
      </c>
      <c r="BQ14" s="139">
        <v>2910</v>
      </c>
      <c r="BR14" s="275" t="s">
        <v>534</v>
      </c>
      <c r="BT14" s="17"/>
      <c r="BU14" s="139">
        <f>t_B5n5_P_AB4[[#This Row],[Offset]]-BV13</f>
        <v>144</v>
      </c>
      <c r="BV14" s="139">
        <f>INDEX(t_B5n5_P_Fixed[Offset],MATCH($B$121,t_B5n5_P[x],0),1)</f>
        <v>1340</v>
      </c>
      <c r="BW14" s="139">
        <v>9</v>
      </c>
      <c r="BX14" s="139">
        <v>2902</v>
      </c>
      <c r="BY14" s="226" t="s">
        <v>533</v>
      </c>
      <c r="CA14" s="17"/>
      <c r="CB14" s="139">
        <f>t_B5n5_P_AB5[[#This Row],[Offset]]-CC13</f>
        <v>60</v>
      </c>
      <c r="CC14" s="139">
        <f>INDEX(t_B5n5_P_Fixed[Offset],MATCH($B$120,t_B5n5_P[x],0),1)</f>
        <v>1324</v>
      </c>
      <c r="CD14" s="139">
        <v>9</v>
      </c>
      <c r="CE14" s="139">
        <v>2886</v>
      </c>
      <c r="CF14" s="278" t="s">
        <v>532</v>
      </c>
      <c r="CH14" s="17"/>
      <c r="CI14" s="139">
        <f>t_B5n5_P_AB6[[#This Row],[Offset]]-CJ13</f>
        <v>272</v>
      </c>
      <c r="CJ14" s="139">
        <f>INDEX(t_B5n5_P_Fixed[Offset],MATCH($B$118,t_B5n5_P[x],0),1)</f>
        <v>1268</v>
      </c>
      <c r="CK14" s="139">
        <v>9</v>
      </c>
      <c r="CL14" s="139">
        <v>2830</v>
      </c>
      <c r="CM14" s="265" t="s">
        <v>530</v>
      </c>
      <c r="CO14" s="17"/>
      <c r="CP14" s="139">
        <f>t_B5n5_P_AB7[[#This Row],[Offset]]-CQ13</f>
        <v>224</v>
      </c>
      <c r="CQ14" s="139">
        <f>INDEX(t_B5n5_P_Fixed[Offset],MATCH($B$116,t_B5n5_P[x],0),1)</f>
        <v>1228</v>
      </c>
      <c r="CR14" s="139">
        <v>9</v>
      </c>
      <c r="CS14" s="139">
        <v>2790</v>
      </c>
      <c r="CT14" s="40" t="s">
        <v>528</v>
      </c>
      <c r="CV14" s="17"/>
      <c r="CW14" s="139">
        <f>t_B5n5_P_AB8[[#This Row],[Offset]]-CX13</f>
        <v>140</v>
      </c>
      <c r="CX14" s="139">
        <f>INDEX(t_B5n5_P_Fixed[Offset],MATCH($B$115,t_B5n5_P[x],0),1)</f>
        <v>1216</v>
      </c>
      <c r="CY14" s="139">
        <v>9</v>
      </c>
      <c r="CZ14" s="139">
        <v>2778</v>
      </c>
      <c r="DA14" s="268" t="s">
        <v>527</v>
      </c>
      <c r="DC14" s="17"/>
      <c r="DD14" s="139">
        <f>t_B5n5_P_AB9[[#This Row],[Offset]]-DE13</f>
        <v>64</v>
      </c>
      <c r="DE14" s="139">
        <f>INDEX(t_B5n5_P_Fixed[Offset],MATCH($B$114,t_B5n5_P[x],0),1)</f>
        <v>1204</v>
      </c>
      <c r="DF14" s="139">
        <v>9</v>
      </c>
      <c r="DG14" s="139">
        <v>2766</v>
      </c>
      <c r="DH14" s="269" t="s">
        <v>526</v>
      </c>
      <c r="DJ14" s="17"/>
      <c r="DK14" s="139">
        <f>t_B5n5_P_AB10[[#This Row],[Offset]]-DL13</f>
        <v>128</v>
      </c>
      <c r="DL14" s="139">
        <f>INDEX(t_B5n5_P_Fixed[Offset],MATCH($B$112,t_B5n5_P[x],0),1)</f>
        <v>1148</v>
      </c>
      <c r="DM14" s="139">
        <v>9</v>
      </c>
      <c r="DN14" s="139">
        <v>2710</v>
      </c>
      <c r="DO14" s="270" t="s">
        <v>524</v>
      </c>
      <c r="DQ14" s="17"/>
      <c r="DR14" s="139">
        <f>t_B5n5_P_AB11[[#This Row],[Offset]]-DS13</f>
        <v>104</v>
      </c>
      <c r="DS14" s="139">
        <f>INDEX(t_B5n5_P_Fixed[Offset],MATCH($B$110,t_B5n5_P[x],0),1)</f>
        <v>1128</v>
      </c>
      <c r="DT14" s="139">
        <v>9</v>
      </c>
      <c r="DU14" s="139">
        <v>2690</v>
      </c>
      <c r="DV14" s="285" t="s">
        <v>522</v>
      </c>
      <c r="DY14" s="139">
        <f>t_B5n5_P_AB12[[#This Row],[Offset]]-DZ13</f>
        <v>36</v>
      </c>
      <c r="DZ14" s="139">
        <f>INDEX(t_B5n5_P_Fixed[Offset],MATCH($B$109,t_B5n5_P[x],0),1)</f>
        <v>1116</v>
      </c>
      <c r="EA14" s="139">
        <v>9</v>
      </c>
      <c r="EB14" s="139">
        <v>2678</v>
      </c>
      <c r="EC14" s="232" t="s">
        <v>521</v>
      </c>
      <c r="ED14" s="17"/>
    </row>
    <row r="15" spans="1:134" x14ac:dyDescent="0.25">
      <c r="A15" s="139">
        <v>10</v>
      </c>
      <c r="B15" s="1">
        <v>358</v>
      </c>
      <c r="C15" s="9">
        <f>ROUNDUP(t_B5n5_P_Fixed[[#This Row],[Fixed]]-$B$3,0)</f>
        <v>-1204</v>
      </c>
      <c r="D15" s="11">
        <f>t_B5n5_P[[#This Row],[x]]-E14</f>
        <v>12</v>
      </c>
      <c r="E15" s="1">
        <v>358</v>
      </c>
      <c r="F15" s="65">
        <v>0</v>
      </c>
      <c r="G15" s="65">
        <v>2</v>
      </c>
      <c r="H15" s="64">
        <v>4</v>
      </c>
      <c r="I15" s="64">
        <v>1</v>
      </c>
      <c r="J15" s="65">
        <v>3</v>
      </c>
      <c r="N15" s="17"/>
      <c r="BA15" s="17"/>
    </row>
    <row r="16" spans="1:134" x14ac:dyDescent="0.25">
      <c r="A16" s="139">
        <v>11</v>
      </c>
      <c r="B16" s="1">
        <v>366</v>
      </c>
      <c r="C16" s="9">
        <f>ROUNDUP(t_B5n5_P_Fixed[[#This Row],[Fixed]]-$B$3,0)</f>
        <v>-1196</v>
      </c>
      <c r="D16" s="11">
        <f>t_B5n5_P[[#This Row],[x]]-E15</f>
        <v>8</v>
      </c>
      <c r="E16" s="139">
        <v>366</v>
      </c>
      <c r="F16" s="184">
        <v>0</v>
      </c>
      <c r="G16" s="184">
        <v>2</v>
      </c>
      <c r="H16" s="185">
        <v>4</v>
      </c>
      <c r="I16" s="185">
        <v>3</v>
      </c>
      <c r="J16" s="184">
        <v>1</v>
      </c>
      <c r="N16" s="17"/>
    </row>
    <row r="17" spans="1:144" x14ac:dyDescent="0.25">
      <c r="A17" s="139">
        <v>12</v>
      </c>
      <c r="B17" s="1">
        <v>414</v>
      </c>
      <c r="C17" s="9">
        <f>ROUNDUP(t_B5n5_P_Fixed[[#This Row],[Fixed]]-$B$3,0)</f>
        <v>-1148</v>
      </c>
      <c r="D17" s="11">
        <f>t_B5n5_P[[#This Row],[x]]-E16</f>
        <v>48</v>
      </c>
      <c r="E17" s="1">
        <v>414</v>
      </c>
      <c r="F17" s="144">
        <v>0</v>
      </c>
      <c r="G17" s="144">
        <v>3</v>
      </c>
      <c r="H17" s="145">
        <v>1</v>
      </c>
      <c r="I17" s="145">
        <v>2</v>
      </c>
      <c r="J17" s="144">
        <v>4</v>
      </c>
      <c r="N17" s="17"/>
      <c r="BH17" s="17"/>
      <c r="BO17" s="17"/>
      <c r="BV17" s="17"/>
      <c r="CC17" s="17"/>
      <c r="CJ17" s="17"/>
      <c r="CQ17" s="17"/>
      <c r="CW17" s="17"/>
      <c r="CX17" s="17"/>
      <c r="DE17" s="17"/>
      <c r="DL17" s="17"/>
      <c r="DS17" s="17"/>
      <c r="DZ17" s="17"/>
    </row>
    <row r="18" spans="1:144" x14ac:dyDescent="0.25">
      <c r="A18" s="139">
        <v>13</v>
      </c>
      <c r="B18" s="1">
        <v>422</v>
      </c>
      <c r="C18" s="9">
        <f>ROUNDUP(t_B5n5_P_Fixed[[#This Row],[Fixed]]-$B$3,0)</f>
        <v>-1140</v>
      </c>
      <c r="D18" s="11">
        <f>t_B5n5_P[[#This Row],[x]]-E17</f>
        <v>8</v>
      </c>
      <c r="E18" s="139">
        <v>422</v>
      </c>
      <c r="F18" s="146">
        <v>0</v>
      </c>
      <c r="G18" s="146">
        <v>3</v>
      </c>
      <c r="H18" s="147">
        <v>1</v>
      </c>
      <c r="I18" s="147">
        <v>4</v>
      </c>
      <c r="J18" s="146">
        <v>2</v>
      </c>
      <c r="N18" s="17"/>
      <c r="AZ18" s="17"/>
      <c r="BA18" s="17"/>
      <c r="BB18" s="17"/>
      <c r="BD18" s="17"/>
      <c r="BE18" s="17"/>
      <c r="BG18" s="17"/>
      <c r="BH18" s="17"/>
      <c r="BI18" s="17"/>
      <c r="BK18" s="17"/>
      <c r="BN18" s="17"/>
      <c r="BO18" s="17"/>
      <c r="BP18" s="17"/>
      <c r="BR18" s="17"/>
      <c r="BT18" s="17"/>
      <c r="BU18" s="17"/>
      <c r="BV18" s="17"/>
      <c r="BW18" s="17"/>
      <c r="BY18" s="17"/>
      <c r="CA18" s="17"/>
      <c r="CB18" s="17"/>
      <c r="CC18" s="17"/>
      <c r="CD18" s="17"/>
      <c r="CF18" s="17"/>
      <c r="CH18" s="17"/>
      <c r="CI18" s="17"/>
      <c r="CJ18" s="17"/>
      <c r="CK18" s="17"/>
      <c r="CM18" s="17"/>
      <c r="CO18" s="17"/>
      <c r="CP18" s="17"/>
      <c r="CQ18" s="17"/>
      <c r="CR18" s="17"/>
      <c r="CT18" s="17"/>
      <c r="CV18" s="17"/>
      <c r="CW18" s="17"/>
      <c r="CX18" s="17"/>
      <c r="CY18" s="17"/>
      <c r="DA18" s="17"/>
      <c r="DC18" s="17"/>
      <c r="DD18" s="17"/>
      <c r="DE18" s="17"/>
      <c r="DF18" s="17"/>
      <c r="DH18" s="17"/>
      <c r="DJ18" s="17"/>
      <c r="DK18" s="17"/>
      <c r="DL18" s="17"/>
      <c r="DN18" s="17"/>
      <c r="DO18" s="17"/>
      <c r="DQ18" s="17"/>
      <c r="DR18" s="17"/>
      <c r="DS18" s="17"/>
      <c r="DT18" s="17"/>
      <c r="DV18" s="17"/>
      <c r="DY18" s="17"/>
      <c r="DZ18" s="17"/>
      <c r="EA18" s="17"/>
      <c r="EC18" s="17"/>
      <c r="ED18" s="17"/>
      <c r="EE18" s="17"/>
      <c r="EF18" s="17"/>
      <c r="EG18" s="17"/>
      <c r="EH18" s="17"/>
      <c r="EI18" s="17"/>
      <c r="EJ18" s="17"/>
      <c r="EK18" s="17"/>
      <c r="EL18" s="17"/>
      <c r="EM18" s="17"/>
      <c r="EN18" s="17"/>
    </row>
    <row r="19" spans="1:144" x14ac:dyDescent="0.25">
      <c r="A19" s="139">
        <v>14</v>
      </c>
      <c r="B19" s="1">
        <v>434</v>
      </c>
      <c r="C19" s="9">
        <f>ROUNDUP(t_B5n5_P_Fixed[[#This Row],[Fixed]]-$B$3,0)</f>
        <v>-1128</v>
      </c>
      <c r="D19" s="11">
        <f>t_B5n5_P[[#This Row],[x]]-E18</f>
        <v>12</v>
      </c>
      <c r="E19" s="1">
        <v>434</v>
      </c>
      <c r="F19" s="69">
        <v>0</v>
      </c>
      <c r="G19" s="69">
        <v>3</v>
      </c>
      <c r="H19" s="68">
        <v>2</v>
      </c>
      <c r="I19" s="68">
        <v>1</v>
      </c>
      <c r="J19" s="69">
        <v>4</v>
      </c>
      <c r="N19" s="17"/>
      <c r="AZ19" s="17"/>
      <c r="BA19" s="17"/>
      <c r="BB19" s="17"/>
      <c r="BD19" s="17"/>
      <c r="BE19" s="17"/>
      <c r="BG19" s="17"/>
      <c r="BH19" s="17"/>
      <c r="BI19" s="17"/>
      <c r="BK19" s="17"/>
      <c r="BN19" s="17"/>
      <c r="BO19" s="17"/>
      <c r="BP19" s="17"/>
      <c r="BR19" s="17"/>
      <c r="BT19" s="17"/>
      <c r="BU19" s="17"/>
      <c r="BV19" s="17"/>
      <c r="BW19" s="17"/>
      <c r="BY19" s="17"/>
      <c r="CA19" s="17"/>
      <c r="CB19" s="17"/>
      <c r="CC19" s="17"/>
      <c r="CD19" s="17"/>
      <c r="CF19" s="17"/>
      <c r="CH19" s="17"/>
      <c r="CI19" s="17"/>
      <c r="CJ19" s="17"/>
      <c r="CK19" s="17"/>
      <c r="CM19" s="17"/>
      <c r="CO19" s="17"/>
      <c r="CP19" s="17"/>
      <c r="CQ19" s="17"/>
      <c r="CR19" s="17"/>
      <c r="CT19" s="17"/>
      <c r="CV19" s="17"/>
      <c r="CW19" s="17"/>
      <c r="CX19" s="17"/>
      <c r="CY19" s="17"/>
      <c r="DA19" s="17"/>
      <c r="DC19" s="17"/>
      <c r="DD19" s="17"/>
      <c r="DE19" s="17"/>
      <c r="DF19" s="17"/>
      <c r="DH19" s="17"/>
      <c r="DJ19" s="17"/>
      <c r="DK19" s="17"/>
      <c r="DL19" s="17"/>
      <c r="DN19" s="17"/>
      <c r="DO19" s="17"/>
      <c r="DQ19" s="17"/>
      <c r="DR19" s="17"/>
      <c r="DS19" s="17"/>
      <c r="DT19" s="17"/>
      <c r="DV19" s="17"/>
      <c r="DY19" s="17"/>
      <c r="DZ19" s="17"/>
      <c r="EA19" s="17"/>
      <c r="EC19" s="17"/>
      <c r="ED19" s="17"/>
      <c r="EE19" s="17"/>
      <c r="EF19" s="17"/>
      <c r="EG19" s="17"/>
      <c r="EH19" s="17"/>
      <c r="EI19" s="17"/>
      <c r="EJ19" s="17"/>
      <c r="EK19" s="17"/>
      <c r="EL19" s="17"/>
      <c r="EM19" s="17"/>
      <c r="EN19" s="17"/>
    </row>
    <row r="20" spans="1:144" x14ac:dyDescent="0.25">
      <c r="A20" s="139">
        <v>15</v>
      </c>
      <c r="B20" s="1">
        <v>446</v>
      </c>
      <c r="C20" s="9">
        <f>ROUNDUP(t_B5n5_P_Fixed[[#This Row],[Fixed]]-$B$3,0)</f>
        <v>-1116</v>
      </c>
      <c r="D20" s="11">
        <f>t_B5n5_P[[#This Row],[x]]-E19</f>
        <v>12</v>
      </c>
      <c r="E20" s="1">
        <v>446</v>
      </c>
      <c r="F20" s="186">
        <v>0</v>
      </c>
      <c r="G20" s="186">
        <v>3</v>
      </c>
      <c r="H20" s="187">
        <v>2</v>
      </c>
      <c r="I20" s="187">
        <v>4</v>
      </c>
      <c r="J20" s="186">
        <v>1</v>
      </c>
      <c r="N20" s="17"/>
      <c r="AZ20" s="17"/>
      <c r="BA20" s="17"/>
      <c r="BB20" s="17"/>
      <c r="BD20" s="17"/>
      <c r="BE20" s="17"/>
      <c r="BG20" s="17"/>
      <c r="BH20" s="17"/>
      <c r="BI20" s="17"/>
      <c r="BK20" s="17"/>
      <c r="BN20" s="17"/>
      <c r="BO20" s="17"/>
      <c r="BP20" s="17"/>
      <c r="BR20" s="17"/>
      <c r="BT20" s="17"/>
      <c r="BU20" s="17"/>
      <c r="BV20" s="17"/>
      <c r="BW20" s="17"/>
      <c r="BY20" s="17"/>
      <c r="CA20" s="17"/>
      <c r="CB20" s="17"/>
      <c r="CC20" s="17"/>
      <c r="CD20" s="17"/>
      <c r="CF20" s="17"/>
      <c r="CH20" s="17"/>
      <c r="CI20" s="17"/>
      <c r="CJ20" s="17"/>
      <c r="CK20" s="17"/>
      <c r="CM20" s="17"/>
      <c r="CO20" s="17"/>
      <c r="CP20" s="17"/>
      <c r="CQ20" s="17"/>
      <c r="CR20" s="17"/>
      <c r="CT20" s="17"/>
      <c r="CV20" s="17"/>
      <c r="CW20" s="17"/>
      <c r="CX20" s="17"/>
      <c r="CY20" s="17"/>
      <c r="DA20" s="17"/>
      <c r="DC20" s="17"/>
      <c r="DD20" s="17"/>
      <c r="DE20" s="17"/>
      <c r="DF20" s="17"/>
      <c r="DH20" s="17"/>
      <c r="DJ20" s="17"/>
      <c r="DK20" s="17"/>
      <c r="DL20" s="17"/>
      <c r="DN20" s="17"/>
      <c r="DO20" s="17"/>
      <c r="DQ20" s="17"/>
      <c r="DR20" s="17"/>
      <c r="DS20" s="17"/>
      <c r="DT20" s="17"/>
      <c r="DV20" s="17"/>
      <c r="DY20" s="17"/>
      <c r="DZ20" s="17"/>
      <c r="EA20" s="17"/>
      <c r="EC20" s="17"/>
      <c r="ED20" s="17"/>
      <c r="EE20" s="17"/>
      <c r="EF20" s="17"/>
      <c r="EG20" s="17"/>
      <c r="EH20" s="17"/>
      <c r="EI20" s="17"/>
      <c r="EJ20" s="17"/>
      <c r="EK20" s="17"/>
      <c r="EL20" s="17"/>
      <c r="EM20" s="17"/>
      <c r="EN20" s="17"/>
    </row>
    <row r="21" spans="1:144" x14ac:dyDescent="0.25">
      <c r="A21" s="139">
        <v>16</v>
      </c>
      <c r="B21" s="1">
        <v>482</v>
      </c>
      <c r="C21" s="9">
        <f>ROUNDUP(t_B5n5_P_Fixed[[#This Row],[Fixed]]-$B$3,0)</f>
        <v>-1080</v>
      </c>
      <c r="D21" s="11">
        <f>t_B5n5_P[[#This Row],[x]]-E20</f>
        <v>36</v>
      </c>
      <c r="E21" s="1">
        <v>482</v>
      </c>
      <c r="F21" s="80">
        <v>0</v>
      </c>
      <c r="G21" s="80">
        <v>3</v>
      </c>
      <c r="H21" s="79">
        <v>4</v>
      </c>
      <c r="I21" s="79">
        <v>1</v>
      </c>
      <c r="J21" s="80">
        <v>2</v>
      </c>
      <c r="N21" s="17"/>
      <c r="AZ21" s="17"/>
      <c r="BA21" s="17"/>
      <c r="BB21" s="17"/>
      <c r="BD21" s="17"/>
      <c r="BE21" s="17"/>
      <c r="BG21" s="17"/>
      <c r="BH21" s="17"/>
      <c r="BI21" s="17"/>
      <c r="BK21" s="17"/>
      <c r="BN21" s="17"/>
      <c r="BO21" s="17"/>
      <c r="BP21" s="17"/>
      <c r="BR21" s="17"/>
      <c r="BT21" s="17"/>
      <c r="BU21" s="17"/>
      <c r="BV21" s="17"/>
      <c r="BW21" s="17"/>
      <c r="BY21" s="17"/>
      <c r="CA21" s="17"/>
      <c r="CB21" s="17"/>
      <c r="CC21" s="17"/>
      <c r="CD21" s="17"/>
      <c r="CF21" s="17"/>
      <c r="CH21" s="17"/>
      <c r="CI21" s="17"/>
      <c r="CJ21" s="17"/>
      <c r="CK21" s="17"/>
      <c r="CM21" s="17"/>
      <c r="CO21" s="17"/>
      <c r="CP21" s="17"/>
      <c r="CQ21" s="17"/>
      <c r="CR21" s="17"/>
      <c r="CT21" s="17"/>
      <c r="CV21" s="17"/>
      <c r="CW21" s="17"/>
      <c r="CX21" s="17"/>
      <c r="CY21" s="17"/>
      <c r="DA21" s="17"/>
      <c r="DC21" s="17"/>
      <c r="DD21" s="17"/>
      <c r="DE21" s="17"/>
      <c r="DF21" s="17"/>
      <c r="DH21" s="17"/>
      <c r="DJ21" s="17"/>
      <c r="DK21" s="17"/>
      <c r="DL21" s="17"/>
      <c r="DN21" s="17"/>
      <c r="DO21" s="17"/>
      <c r="DQ21" s="17"/>
      <c r="DR21" s="17"/>
      <c r="DS21" s="17"/>
      <c r="DT21" s="17"/>
      <c r="DV21" s="17"/>
      <c r="DY21" s="17"/>
      <c r="DZ21" s="17"/>
      <c r="EA21" s="17"/>
      <c r="EC21" s="17"/>
      <c r="ED21" s="17"/>
      <c r="EE21" s="17"/>
      <c r="EF21" s="17"/>
      <c r="EG21" s="17"/>
      <c r="EH21" s="17"/>
      <c r="EI21" s="17"/>
      <c r="EJ21" s="17"/>
      <c r="EK21" s="17"/>
      <c r="EL21" s="17"/>
      <c r="EM21" s="17"/>
      <c r="EN21" s="17"/>
    </row>
    <row r="22" spans="1:144" x14ac:dyDescent="0.25">
      <c r="A22" s="139">
        <v>17</v>
      </c>
      <c r="B22" s="1">
        <v>486</v>
      </c>
      <c r="C22" s="9">
        <f>ROUNDUP(t_B5n5_P_Fixed[[#This Row],[Fixed]]-$B$3,0)</f>
        <v>-1076</v>
      </c>
      <c r="D22" s="11">
        <f>t_B5n5_P[[#This Row],[x]]-E21</f>
        <v>4</v>
      </c>
      <c r="E22" s="1">
        <v>486</v>
      </c>
      <c r="F22" s="142">
        <v>0</v>
      </c>
      <c r="G22" s="142">
        <v>3</v>
      </c>
      <c r="H22" s="143">
        <v>4</v>
      </c>
      <c r="I22" s="143">
        <v>2</v>
      </c>
      <c r="J22" s="142">
        <v>1</v>
      </c>
      <c r="N22" s="17"/>
      <c r="AZ22" s="17"/>
      <c r="BA22" s="17"/>
      <c r="BB22" s="17"/>
      <c r="BD22" s="17"/>
      <c r="BE22" s="17"/>
      <c r="BG22" s="17"/>
      <c r="BH22" s="17"/>
      <c r="BI22" s="17"/>
      <c r="BK22" s="17"/>
      <c r="BN22" s="17"/>
      <c r="BO22" s="17"/>
      <c r="BP22" s="17"/>
      <c r="BR22" s="17"/>
      <c r="BT22" s="17"/>
      <c r="BU22" s="17"/>
      <c r="BV22" s="17"/>
      <c r="BW22" s="17"/>
      <c r="BY22" s="17"/>
      <c r="CA22" s="17"/>
      <c r="CB22" s="17"/>
      <c r="CC22" s="17"/>
      <c r="CD22" s="17"/>
      <c r="CF22" s="17"/>
      <c r="CH22" s="17"/>
      <c r="CI22" s="17"/>
      <c r="CJ22" s="17"/>
      <c r="CK22" s="17"/>
      <c r="CM22" s="17"/>
      <c r="CO22" s="17"/>
      <c r="CP22" s="17"/>
      <c r="CQ22" s="17"/>
      <c r="CR22" s="17"/>
      <c r="CT22" s="17"/>
      <c r="CV22" s="17"/>
      <c r="CW22" s="17"/>
      <c r="CX22" s="17"/>
      <c r="CY22" s="17"/>
      <c r="DA22" s="17"/>
      <c r="DC22" s="17"/>
      <c r="DD22" s="17"/>
      <c r="DE22" s="17"/>
      <c r="DF22" s="17"/>
      <c r="DH22" s="17"/>
      <c r="DJ22" s="17"/>
      <c r="DK22" s="17"/>
      <c r="DL22" s="17"/>
      <c r="DN22" s="17"/>
      <c r="DO22" s="17"/>
      <c r="DQ22" s="17"/>
      <c r="DR22" s="17"/>
      <c r="DS22" s="17"/>
      <c r="DT22" s="17"/>
      <c r="DV22" s="17"/>
      <c r="DY22" s="17"/>
      <c r="DZ22" s="17"/>
      <c r="EA22" s="17"/>
      <c r="EC22" s="17"/>
      <c r="ED22" s="17"/>
      <c r="EE22" s="17"/>
      <c r="EF22" s="17"/>
      <c r="EG22" s="17"/>
      <c r="EH22" s="17"/>
      <c r="EI22" s="17"/>
      <c r="EJ22" s="17"/>
      <c r="EK22" s="17"/>
      <c r="EL22" s="17"/>
      <c r="EM22" s="17"/>
      <c r="EN22" s="17"/>
    </row>
    <row r="23" spans="1:144" x14ac:dyDescent="0.25">
      <c r="A23" s="139">
        <v>18</v>
      </c>
      <c r="B23" s="1">
        <v>538</v>
      </c>
      <c r="C23" s="9">
        <f>ROUNDUP(t_B5n5_P_Fixed[[#This Row],[Fixed]]-$B$3,0)</f>
        <v>-1024</v>
      </c>
      <c r="D23" s="11">
        <f>t_B5n5_P[[#This Row],[x]]-E22</f>
        <v>52</v>
      </c>
      <c r="E23" s="1">
        <v>538</v>
      </c>
      <c r="F23" s="78">
        <v>0</v>
      </c>
      <c r="G23" s="78">
        <v>4</v>
      </c>
      <c r="H23" s="77">
        <v>1</v>
      </c>
      <c r="I23" s="77">
        <v>2</v>
      </c>
      <c r="J23" s="78">
        <v>3</v>
      </c>
      <c r="N23" s="17"/>
      <c r="AZ23" s="17"/>
      <c r="BA23" s="17"/>
      <c r="BB23" s="17"/>
      <c r="BD23" s="17"/>
      <c r="BE23" s="17"/>
      <c r="BG23" s="17"/>
      <c r="BH23" s="17"/>
      <c r="BI23" s="17"/>
      <c r="BK23" s="17"/>
      <c r="BN23" s="17"/>
      <c r="BO23" s="17"/>
      <c r="BP23" s="17"/>
      <c r="BR23" s="17"/>
      <c r="BT23" s="17"/>
      <c r="BU23" s="17"/>
      <c r="BV23" s="17"/>
      <c r="BW23" s="17"/>
      <c r="BY23" s="17"/>
      <c r="CA23" s="17"/>
      <c r="CB23" s="17"/>
      <c r="CC23" s="17"/>
      <c r="CD23" s="17"/>
      <c r="CF23" s="17"/>
      <c r="CH23" s="17"/>
      <c r="CI23" s="17"/>
      <c r="CJ23" s="17"/>
      <c r="CK23" s="17"/>
      <c r="CM23" s="17"/>
      <c r="CO23" s="17"/>
      <c r="CP23" s="17"/>
      <c r="CQ23" s="17"/>
      <c r="CR23" s="17"/>
      <c r="CT23" s="17"/>
      <c r="CV23" s="17"/>
      <c r="CW23" s="17"/>
      <c r="CX23" s="17"/>
      <c r="CY23" s="17"/>
      <c r="DA23" s="17"/>
      <c r="DC23" s="17"/>
      <c r="DD23" s="17"/>
      <c r="DE23" s="17"/>
      <c r="DF23" s="17"/>
      <c r="DH23" s="17"/>
      <c r="DJ23" s="17"/>
      <c r="DK23" s="17"/>
      <c r="DL23" s="17"/>
      <c r="DN23" s="17"/>
      <c r="DO23" s="17"/>
      <c r="DQ23" s="17"/>
      <c r="DR23" s="17"/>
      <c r="DS23" s="17"/>
      <c r="DT23" s="17"/>
      <c r="DV23" s="17"/>
      <c r="DY23" s="17"/>
      <c r="DZ23" s="17"/>
      <c r="EA23" s="17"/>
      <c r="EC23" s="17"/>
      <c r="ED23" s="17"/>
      <c r="EE23" s="17"/>
      <c r="EF23" s="17"/>
      <c r="EG23" s="17"/>
      <c r="EH23" s="17"/>
      <c r="EI23" s="17"/>
      <c r="EJ23" s="17"/>
      <c r="EK23" s="17"/>
      <c r="EL23" s="17"/>
      <c r="EM23" s="17"/>
      <c r="EN23" s="17"/>
    </row>
    <row r="24" spans="1:144" x14ac:dyDescent="0.25">
      <c r="A24" s="139">
        <v>19</v>
      </c>
      <c r="B24" s="1">
        <v>542</v>
      </c>
      <c r="C24" s="9">
        <f>ROUNDUP(t_B5n5_P_Fixed[[#This Row],[Fixed]]-$B$3,0)</f>
        <v>-1020</v>
      </c>
      <c r="D24" s="11">
        <f>t_B5n5_P[[#This Row],[x]]-E23</f>
        <v>4</v>
      </c>
      <c r="E24" s="1">
        <v>542</v>
      </c>
      <c r="F24" s="111">
        <v>0</v>
      </c>
      <c r="G24" s="111">
        <v>4</v>
      </c>
      <c r="H24" s="112">
        <v>1</v>
      </c>
      <c r="I24" s="112">
        <v>3</v>
      </c>
      <c r="J24" s="111">
        <v>2</v>
      </c>
      <c r="N24" s="17"/>
      <c r="AZ24" s="17"/>
      <c r="BA24" s="17"/>
      <c r="BB24" s="17"/>
      <c r="BD24" s="17"/>
      <c r="BE24" s="17"/>
      <c r="BG24" s="17"/>
      <c r="BH24" s="17"/>
      <c r="BI24" s="17"/>
      <c r="BK24" s="17"/>
      <c r="BN24" s="17"/>
      <c r="BO24" s="17"/>
      <c r="BP24" s="17"/>
      <c r="BR24" s="17"/>
      <c r="BT24" s="17"/>
      <c r="BU24" s="17"/>
      <c r="BV24" s="17"/>
      <c r="BW24" s="17"/>
      <c r="BY24" s="17"/>
      <c r="CA24" s="17"/>
      <c r="CB24" s="17"/>
      <c r="CC24" s="17"/>
      <c r="CD24" s="17"/>
      <c r="CF24" s="17"/>
      <c r="CH24" s="17"/>
      <c r="CI24" s="17"/>
      <c r="CJ24" s="17"/>
      <c r="CK24" s="17"/>
      <c r="CM24" s="17"/>
      <c r="CO24" s="17"/>
      <c r="CP24" s="17"/>
      <c r="CQ24" s="17"/>
      <c r="CR24" s="17"/>
      <c r="CT24" s="17"/>
      <c r="CV24" s="17"/>
      <c r="CW24" s="17"/>
      <c r="CX24" s="17"/>
      <c r="CY24" s="17"/>
      <c r="DA24" s="17"/>
      <c r="DC24" s="17"/>
      <c r="DD24" s="17"/>
      <c r="DE24" s="17"/>
      <c r="DF24" s="17"/>
      <c r="DH24" s="17"/>
      <c r="DJ24" s="17"/>
      <c r="DK24" s="17"/>
      <c r="DL24" s="17"/>
      <c r="DN24" s="17"/>
      <c r="DO24" s="17"/>
      <c r="DQ24" s="17"/>
      <c r="DR24" s="17"/>
      <c r="DS24" s="17"/>
      <c r="DT24" s="17"/>
      <c r="DV24" s="17"/>
      <c r="DY24" s="17"/>
      <c r="DZ24" s="17"/>
      <c r="EA24" s="17"/>
      <c r="EC24" s="17"/>
      <c r="ED24" s="17"/>
      <c r="EE24" s="17"/>
      <c r="EF24" s="17"/>
      <c r="EG24" s="17"/>
      <c r="EH24" s="17"/>
      <c r="EI24" s="17"/>
      <c r="EJ24" s="17"/>
      <c r="EK24" s="17"/>
      <c r="EL24" s="17"/>
      <c r="EM24" s="17"/>
      <c r="EN24" s="17"/>
    </row>
    <row r="25" spans="1:144" x14ac:dyDescent="0.25">
      <c r="A25" s="139">
        <v>20</v>
      </c>
      <c r="B25" s="1">
        <v>558</v>
      </c>
      <c r="C25" s="9">
        <f>ROUNDUP(t_B5n5_P_Fixed[[#This Row],[Fixed]]-$B$3,0)</f>
        <v>-1004</v>
      </c>
      <c r="D25" s="11">
        <f>t_B5n5_P[[#This Row],[x]]-E24</f>
        <v>16</v>
      </c>
      <c r="E25" s="1">
        <v>558</v>
      </c>
      <c r="F25" s="41">
        <v>0</v>
      </c>
      <c r="G25" s="41">
        <v>4</v>
      </c>
      <c r="H25" s="40">
        <v>2</v>
      </c>
      <c r="I25" s="40">
        <v>1</v>
      </c>
      <c r="J25" s="41">
        <v>3</v>
      </c>
      <c r="N25" s="17"/>
      <c r="BA25" s="17"/>
      <c r="BH25" s="17"/>
      <c r="BO25" s="17"/>
      <c r="BV25" s="17"/>
      <c r="CC25" s="17"/>
      <c r="CJ25" s="17"/>
      <c r="CQ25" s="17"/>
      <c r="CW25" s="17"/>
      <c r="CX25" s="17"/>
      <c r="DE25" s="17"/>
      <c r="DL25" s="17"/>
      <c r="DS25" s="17"/>
      <c r="DZ25" s="17"/>
    </row>
    <row r="26" spans="1:144" x14ac:dyDescent="0.25">
      <c r="A26" s="139">
        <v>21</v>
      </c>
      <c r="B26" s="1">
        <v>566</v>
      </c>
      <c r="C26" s="9">
        <f>ROUNDUP(t_B5n5_P_Fixed[[#This Row],[Fixed]]-$B$3,0)</f>
        <v>-996</v>
      </c>
      <c r="D26" s="11">
        <f>t_B5n5_P[[#This Row],[x]]-E25</f>
        <v>8</v>
      </c>
      <c r="E26" s="1">
        <v>566</v>
      </c>
      <c r="F26" s="63">
        <v>0</v>
      </c>
      <c r="G26" s="63">
        <v>4</v>
      </c>
      <c r="H26" s="62">
        <v>2</v>
      </c>
      <c r="I26" s="62">
        <v>3</v>
      </c>
      <c r="J26" s="63">
        <v>1</v>
      </c>
      <c r="N26" s="17"/>
      <c r="BA26" s="17"/>
      <c r="BH26" s="17"/>
      <c r="BO26" s="17"/>
      <c r="BV26" s="17"/>
      <c r="CC26" s="17"/>
      <c r="CJ26" s="17"/>
      <c r="CQ26" s="17"/>
      <c r="CW26" s="17"/>
      <c r="CX26" s="17"/>
      <c r="DE26" s="17"/>
      <c r="DL26" s="17"/>
      <c r="DS26" s="17"/>
      <c r="DZ26" s="17"/>
    </row>
    <row r="27" spans="1:144" x14ac:dyDescent="0.25">
      <c r="A27" s="139">
        <v>22</v>
      </c>
      <c r="B27" s="1">
        <v>582</v>
      </c>
      <c r="C27" s="9">
        <f>ROUNDUP(t_B5n5_P_Fixed[[#This Row],[Fixed]]-$B$3,0)</f>
        <v>-980</v>
      </c>
      <c r="D27" s="11">
        <f>t_B5n5_P[[#This Row],[x]]-E26</f>
        <v>16</v>
      </c>
      <c r="E27" s="139">
        <v>582</v>
      </c>
      <c r="F27" s="39">
        <v>0</v>
      </c>
      <c r="G27" s="39">
        <v>4</v>
      </c>
      <c r="H27" s="38">
        <v>3</v>
      </c>
      <c r="I27" s="38">
        <v>1</v>
      </c>
      <c r="J27" s="39">
        <v>2</v>
      </c>
      <c r="N27" s="17"/>
      <c r="BA27" s="17"/>
      <c r="DL27" s="17"/>
    </row>
    <row r="28" spans="1:144" x14ac:dyDescent="0.25">
      <c r="A28" s="139">
        <v>23</v>
      </c>
      <c r="B28" s="1">
        <v>586</v>
      </c>
      <c r="C28" s="9">
        <f>ROUNDUP(t_B5n5_P_Fixed[[#This Row],[Fixed]]-$B$3,0)</f>
        <v>-976</v>
      </c>
      <c r="D28" s="11">
        <f>t_B5n5_P[[#This Row],[x]]-E27</f>
        <v>4</v>
      </c>
      <c r="E28" s="9">
        <v>586</v>
      </c>
      <c r="F28" s="76">
        <v>0</v>
      </c>
      <c r="G28" s="76">
        <v>4</v>
      </c>
      <c r="H28" s="75">
        <v>3</v>
      </c>
      <c r="I28" s="75">
        <v>2</v>
      </c>
      <c r="J28" s="76">
        <v>1</v>
      </c>
      <c r="BA28" s="17"/>
      <c r="DL28" s="17"/>
    </row>
    <row r="29" spans="1:144" x14ac:dyDescent="0.25">
      <c r="A29" s="139">
        <v>24</v>
      </c>
      <c r="B29" s="1">
        <v>694</v>
      </c>
      <c r="C29" s="9">
        <f>ROUNDUP(t_B5n5_P_Fixed[[#This Row],[Fixed]]-$B$3,0)</f>
        <v>-868</v>
      </c>
      <c r="D29" s="11">
        <f>t_B5n5_P[[#This Row],[x]]-E28</f>
        <v>108</v>
      </c>
      <c r="E29" s="1">
        <v>694</v>
      </c>
      <c r="F29" s="84">
        <v>1</v>
      </c>
      <c r="G29" s="84">
        <v>0</v>
      </c>
      <c r="H29" s="83">
        <v>2</v>
      </c>
      <c r="I29" s="83">
        <v>3</v>
      </c>
      <c r="J29" s="84">
        <v>4</v>
      </c>
      <c r="BA29" s="17"/>
      <c r="DL29" s="17"/>
    </row>
    <row r="30" spans="1:144" x14ac:dyDescent="0.25">
      <c r="A30" s="139">
        <v>25</v>
      </c>
      <c r="B30" s="1">
        <v>698</v>
      </c>
      <c r="C30" s="9">
        <f>ROUNDUP(t_B5n5_P_Fixed[[#This Row],[Fixed]]-$B$3,0)</f>
        <v>-864</v>
      </c>
      <c r="D30" s="11">
        <f>t_B5n5_P[[#This Row],[x]]-E29</f>
        <v>4</v>
      </c>
      <c r="E30" s="139">
        <v>698</v>
      </c>
      <c r="F30" s="184">
        <v>1</v>
      </c>
      <c r="G30" s="184">
        <v>0</v>
      </c>
      <c r="H30" s="185">
        <v>2</v>
      </c>
      <c r="I30" s="185">
        <v>4</v>
      </c>
      <c r="J30" s="184">
        <v>3</v>
      </c>
      <c r="BA30" s="17"/>
      <c r="DL30" s="17"/>
    </row>
    <row r="31" spans="1:144" x14ac:dyDescent="0.25">
      <c r="A31" s="139">
        <v>26</v>
      </c>
      <c r="B31" s="1">
        <v>714</v>
      </c>
      <c r="C31" s="9">
        <f>ROUNDUP(t_B5n5_P_Fixed[[#This Row],[Fixed]]-$B$3,0)</f>
        <v>-848</v>
      </c>
      <c r="D31" s="11">
        <f>t_B5n5_P[[#This Row],[x]]-E30</f>
        <v>16</v>
      </c>
      <c r="E31" s="1">
        <v>714</v>
      </c>
      <c r="F31" s="186">
        <v>1</v>
      </c>
      <c r="G31" s="186">
        <v>0</v>
      </c>
      <c r="H31" s="187">
        <v>3</v>
      </c>
      <c r="I31" s="187">
        <v>2</v>
      </c>
      <c r="J31" s="186">
        <v>4</v>
      </c>
      <c r="DL31" s="17"/>
    </row>
    <row r="32" spans="1:144" x14ac:dyDescent="0.25">
      <c r="A32" s="139">
        <v>27</v>
      </c>
      <c r="B32" s="1">
        <v>722</v>
      </c>
      <c r="C32" s="9">
        <f>ROUNDUP(t_B5n5_P_Fixed[[#This Row],[Fixed]]-$B$3,0)</f>
        <v>-840</v>
      </c>
      <c r="D32" s="11">
        <f>t_B5n5_P[[#This Row],[x]]-E31</f>
        <v>8</v>
      </c>
      <c r="E32" s="1">
        <v>722</v>
      </c>
      <c r="F32" s="142">
        <v>1</v>
      </c>
      <c r="G32" s="142">
        <v>0</v>
      </c>
      <c r="H32" s="143">
        <v>3</v>
      </c>
      <c r="I32" s="143">
        <v>4</v>
      </c>
      <c r="J32" s="142">
        <v>2</v>
      </c>
      <c r="DL32" s="17"/>
    </row>
    <row r="33" spans="1:116" x14ac:dyDescent="0.25">
      <c r="A33" s="139">
        <v>28</v>
      </c>
      <c r="B33" s="1">
        <v>738</v>
      </c>
      <c r="C33" s="9">
        <f>ROUNDUP(t_B5n5_P_Fixed[[#This Row],[Fixed]]-$B$3,0)</f>
        <v>-824</v>
      </c>
      <c r="D33" s="11">
        <f>t_B5n5_P[[#This Row],[x]]-E32</f>
        <v>16</v>
      </c>
      <c r="E33" s="1">
        <v>738</v>
      </c>
      <c r="F33" s="63">
        <v>1</v>
      </c>
      <c r="G33" s="63">
        <v>0</v>
      </c>
      <c r="H33" s="62">
        <v>4</v>
      </c>
      <c r="I33" s="62">
        <v>2</v>
      </c>
      <c r="J33" s="63">
        <v>3</v>
      </c>
      <c r="K33" s="16"/>
      <c r="L33" s="17"/>
      <c r="DL33" s="17"/>
    </row>
    <row r="34" spans="1:116" x14ac:dyDescent="0.25">
      <c r="A34" s="139">
        <v>29</v>
      </c>
      <c r="B34" s="1">
        <v>742</v>
      </c>
      <c r="C34" s="9">
        <f>ROUNDUP(t_B5n5_P_Fixed[[#This Row],[Fixed]]-$B$3,0)</f>
        <v>-820</v>
      </c>
      <c r="D34" s="11">
        <f>t_B5n5_P[[#This Row],[x]]-E33</f>
        <v>4</v>
      </c>
      <c r="E34" s="139">
        <v>742</v>
      </c>
      <c r="F34" s="76">
        <v>1</v>
      </c>
      <c r="G34" s="76">
        <v>0</v>
      </c>
      <c r="H34" s="75">
        <v>4</v>
      </c>
      <c r="I34" s="75">
        <v>3</v>
      </c>
      <c r="J34" s="76">
        <v>2</v>
      </c>
      <c r="K34" s="72"/>
      <c r="L34" s="17"/>
    </row>
    <row r="35" spans="1:116" x14ac:dyDescent="0.25">
      <c r="A35" s="139">
        <v>30</v>
      </c>
      <c r="B35" s="1">
        <v>894</v>
      </c>
      <c r="C35" s="9">
        <f>ROUNDUP(t_B5n5_P_Fixed[[#This Row],[Fixed]]-$B$3,0)</f>
        <v>-668</v>
      </c>
      <c r="D35" s="11">
        <f>t_B5n5_P[[#This Row],[x]]-E34</f>
        <v>152</v>
      </c>
      <c r="E35" s="139">
        <v>894</v>
      </c>
      <c r="F35" s="80">
        <v>1</v>
      </c>
      <c r="G35" s="80">
        <v>2</v>
      </c>
      <c r="H35" s="79">
        <v>0</v>
      </c>
      <c r="I35" s="79">
        <v>3</v>
      </c>
      <c r="J35" s="80">
        <v>4</v>
      </c>
      <c r="K35" s="16"/>
      <c r="L35" s="17"/>
    </row>
    <row r="36" spans="1:116" x14ac:dyDescent="0.25">
      <c r="A36" s="139">
        <v>31</v>
      </c>
      <c r="B36" s="1">
        <v>898</v>
      </c>
      <c r="C36" s="9">
        <f>ROUNDUP(t_B5n5_P_Fixed[[#This Row],[Fixed]]-$B$3,0)</f>
        <v>-664</v>
      </c>
      <c r="D36" s="11">
        <f>t_B5n5_P[[#This Row],[x]]-E35</f>
        <v>4</v>
      </c>
      <c r="E36" s="1">
        <v>898</v>
      </c>
      <c r="F36" s="39">
        <v>1</v>
      </c>
      <c r="G36" s="39">
        <v>2</v>
      </c>
      <c r="H36" s="38">
        <v>0</v>
      </c>
      <c r="I36" s="38">
        <v>4</v>
      </c>
      <c r="J36" s="39">
        <v>3</v>
      </c>
      <c r="K36" s="16"/>
      <c r="L36" s="17"/>
    </row>
    <row r="37" spans="1:116" x14ac:dyDescent="0.25">
      <c r="A37" s="139">
        <v>32</v>
      </c>
      <c r="B37" s="1">
        <v>954</v>
      </c>
      <c r="C37" s="9">
        <f>ROUNDUP(t_B5n5_P_Fixed[[#This Row],[Fixed]]-$B$3,0)</f>
        <v>-608</v>
      </c>
      <c r="D37" s="11">
        <f>t_B5n5_P[[#This Row],[x]]-E36</f>
        <v>56</v>
      </c>
      <c r="E37" s="1">
        <v>954</v>
      </c>
      <c r="F37" s="78">
        <v>1</v>
      </c>
      <c r="G37" s="78">
        <v>2</v>
      </c>
      <c r="H37" s="77">
        <v>3</v>
      </c>
      <c r="I37" s="77">
        <v>0</v>
      </c>
      <c r="J37" s="78">
        <v>4</v>
      </c>
      <c r="K37" s="16"/>
      <c r="L37" s="17"/>
    </row>
    <row r="38" spans="1:116" x14ac:dyDescent="0.25">
      <c r="A38" s="139">
        <v>33</v>
      </c>
      <c r="B38" s="1">
        <v>970</v>
      </c>
      <c r="C38" s="9">
        <f>ROUNDUP(t_B5n5_P_Fixed[[#This Row],[Fixed]]-$B$3,0)</f>
        <v>-592</v>
      </c>
      <c r="D38" s="11">
        <f>t_B5n5_P[[#This Row],[x]]-E37</f>
        <v>16</v>
      </c>
      <c r="E38" s="1">
        <v>970</v>
      </c>
      <c r="F38" s="137">
        <v>1</v>
      </c>
      <c r="G38" s="137">
        <v>2</v>
      </c>
      <c r="H38" s="136">
        <v>3</v>
      </c>
      <c r="I38" s="136">
        <v>4</v>
      </c>
      <c r="J38" s="137">
        <v>0</v>
      </c>
      <c r="K38" s="16"/>
      <c r="L38" s="17"/>
    </row>
    <row r="39" spans="1:116" x14ac:dyDescent="0.25">
      <c r="A39" s="139">
        <v>34</v>
      </c>
      <c r="B39" s="1">
        <v>978</v>
      </c>
      <c r="C39" s="9">
        <f>ROUNDUP(t_B5n5_P_Fixed[[#This Row],[Fixed]]-$B$3,0)</f>
        <v>-584</v>
      </c>
      <c r="D39" s="11">
        <f>t_B5n5_P[[#This Row],[x]]-E38</f>
        <v>8</v>
      </c>
      <c r="E39" s="1">
        <v>978</v>
      </c>
      <c r="F39" s="144">
        <v>1</v>
      </c>
      <c r="G39" s="144">
        <v>2</v>
      </c>
      <c r="H39" s="145">
        <v>4</v>
      </c>
      <c r="I39" s="145">
        <v>0</v>
      </c>
      <c r="J39" s="144">
        <v>3</v>
      </c>
      <c r="K39" s="16"/>
      <c r="L39" s="17"/>
    </row>
    <row r="40" spans="1:116" x14ac:dyDescent="0.25">
      <c r="A40" s="139">
        <v>35</v>
      </c>
      <c r="B40" s="1">
        <v>990</v>
      </c>
      <c r="C40" s="9">
        <f>ROUNDUP(t_B5n5_P_Fixed[[#This Row],[Fixed]]-$B$3,0)</f>
        <v>-572</v>
      </c>
      <c r="D40" s="11">
        <f>t_B5n5_P[[#This Row],[x]]-E39</f>
        <v>12</v>
      </c>
      <c r="E40" s="1">
        <v>990</v>
      </c>
      <c r="F40" s="43">
        <v>1</v>
      </c>
      <c r="G40" s="43">
        <v>2</v>
      </c>
      <c r="H40" s="42">
        <v>4</v>
      </c>
      <c r="I40" s="42">
        <v>3</v>
      </c>
      <c r="J40" s="43">
        <v>0</v>
      </c>
      <c r="K40" s="16"/>
      <c r="L40" s="17"/>
    </row>
    <row r="41" spans="1:116" x14ac:dyDescent="0.25">
      <c r="A41" s="139">
        <v>36</v>
      </c>
      <c r="B41" s="1">
        <v>1014</v>
      </c>
      <c r="C41" s="9">
        <f>ROUNDUP(t_B5n5_P_Fixed[[#This Row],[Fixed]]-$B$3,0)</f>
        <v>-548</v>
      </c>
      <c r="D41" s="11">
        <f>t_B5n5_P[[#This Row],[x]]-E40</f>
        <v>24</v>
      </c>
      <c r="E41" s="1">
        <v>1014</v>
      </c>
      <c r="F41" s="65">
        <v>1</v>
      </c>
      <c r="G41" s="65">
        <v>3</v>
      </c>
      <c r="H41" s="64">
        <v>0</v>
      </c>
      <c r="I41" s="64">
        <v>2</v>
      </c>
      <c r="J41" s="65">
        <v>4</v>
      </c>
      <c r="K41" s="16"/>
      <c r="L41" s="17"/>
    </row>
    <row r="42" spans="1:116" x14ac:dyDescent="0.25">
      <c r="A42" s="139">
        <v>37</v>
      </c>
      <c r="B42" s="1">
        <v>1022</v>
      </c>
      <c r="C42" s="9">
        <f>ROUNDUP(t_B5n5_P_Fixed[[#This Row],[Fixed]]-$B$3,0)</f>
        <v>-540</v>
      </c>
      <c r="D42" s="11">
        <f>t_B5n5_P[[#This Row],[x]]-E41</f>
        <v>8</v>
      </c>
      <c r="E42" s="1">
        <v>1022</v>
      </c>
      <c r="F42" s="41">
        <v>1</v>
      </c>
      <c r="G42" s="41">
        <v>3</v>
      </c>
      <c r="H42" s="40">
        <v>0</v>
      </c>
      <c r="I42" s="40">
        <v>4</v>
      </c>
      <c r="J42" s="41">
        <v>2</v>
      </c>
      <c r="K42" s="16"/>
      <c r="L42" s="17"/>
    </row>
    <row r="43" spans="1:116" x14ac:dyDescent="0.25">
      <c r="A43" s="139">
        <v>38</v>
      </c>
      <c r="B43" s="1">
        <v>1054</v>
      </c>
      <c r="C43" s="9">
        <f>ROUNDUP(t_B5n5_P_Fixed[[#This Row],[Fixed]]-$B$3,0)</f>
        <v>-508</v>
      </c>
      <c r="D43" s="11">
        <f>t_B5n5_P[[#This Row],[x]]-E42</f>
        <v>32</v>
      </c>
      <c r="E43" s="1">
        <v>1054</v>
      </c>
      <c r="F43" s="111">
        <v>1</v>
      </c>
      <c r="G43" s="111">
        <v>3</v>
      </c>
      <c r="H43" s="112">
        <v>2</v>
      </c>
      <c r="I43" s="112">
        <v>0</v>
      </c>
      <c r="J43" s="111">
        <v>4</v>
      </c>
      <c r="K43" s="16"/>
      <c r="L43" s="17"/>
    </row>
    <row r="44" spans="1:116" x14ac:dyDescent="0.25">
      <c r="A44" s="139">
        <v>39</v>
      </c>
      <c r="B44" s="1">
        <v>1070</v>
      </c>
      <c r="C44" s="9">
        <f>ROUNDUP(t_B5n5_P_Fixed[[#This Row],[Fixed]]-$B$3,0)</f>
        <v>-492</v>
      </c>
      <c r="D44" s="11">
        <f>t_B5n5_P[[#This Row],[x]]-E43</f>
        <v>16</v>
      </c>
      <c r="E44" s="1">
        <v>1070</v>
      </c>
      <c r="F44" s="45">
        <v>1</v>
      </c>
      <c r="G44" s="45">
        <v>3</v>
      </c>
      <c r="H44" s="44">
        <v>2</v>
      </c>
      <c r="I44" s="44">
        <v>4</v>
      </c>
      <c r="J44" s="45">
        <v>0</v>
      </c>
      <c r="K44" s="16"/>
      <c r="L44" s="17"/>
    </row>
    <row r="45" spans="1:116" x14ac:dyDescent="0.25">
      <c r="A45" s="139">
        <v>40</v>
      </c>
      <c r="B45" s="1">
        <v>1102</v>
      </c>
      <c r="C45" s="9">
        <f>ROUNDUP(t_B5n5_P_Fixed[[#This Row],[Fixed]]-$B$3,0)</f>
        <v>-460</v>
      </c>
      <c r="D45" s="11">
        <f>t_B5n5_P[[#This Row],[x]]-E44</f>
        <v>32</v>
      </c>
      <c r="E45" s="1">
        <v>1102</v>
      </c>
      <c r="F45" s="51">
        <v>1</v>
      </c>
      <c r="G45" s="51">
        <v>3</v>
      </c>
      <c r="H45" s="50">
        <v>4</v>
      </c>
      <c r="I45" s="50">
        <v>0</v>
      </c>
      <c r="J45" s="51">
        <v>2</v>
      </c>
      <c r="K45" s="16"/>
      <c r="L45" s="17"/>
    </row>
    <row r="46" spans="1:116" x14ac:dyDescent="0.25">
      <c r="A46" s="139">
        <v>41</v>
      </c>
      <c r="B46" s="1">
        <v>1110</v>
      </c>
      <c r="C46" s="9">
        <f>ROUNDUP(t_B5n5_P_Fixed[[#This Row],[Fixed]]-$B$3,0)</f>
        <v>-452</v>
      </c>
      <c r="D46" s="11">
        <f>t_B5n5_P[[#This Row],[x]]-E45</f>
        <v>8</v>
      </c>
      <c r="E46" s="9">
        <v>1110</v>
      </c>
      <c r="F46" s="86">
        <v>1</v>
      </c>
      <c r="G46" s="86">
        <v>3</v>
      </c>
      <c r="H46" s="85">
        <v>4</v>
      </c>
      <c r="I46" s="85">
        <v>2</v>
      </c>
      <c r="J46" s="86">
        <v>0</v>
      </c>
      <c r="K46" s="16"/>
      <c r="L46" s="17"/>
    </row>
    <row r="47" spans="1:116" x14ac:dyDescent="0.25">
      <c r="A47" s="139">
        <v>42</v>
      </c>
      <c r="B47" s="1">
        <v>1138</v>
      </c>
      <c r="C47" s="9">
        <f>ROUNDUP(t_B5n5_P_Fixed[[#This Row],[Fixed]]-$B$3,0)</f>
        <v>-424</v>
      </c>
      <c r="D47" s="11">
        <f>t_B5n5_P[[#This Row],[x]]-E46</f>
        <v>28</v>
      </c>
      <c r="E47" s="139">
        <v>1138</v>
      </c>
      <c r="F47" s="82">
        <v>1</v>
      </c>
      <c r="G47" s="82">
        <v>4</v>
      </c>
      <c r="H47" s="81">
        <v>0</v>
      </c>
      <c r="I47" s="81">
        <v>2</v>
      </c>
      <c r="J47" s="82">
        <v>3</v>
      </c>
      <c r="K47" s="16"/>
      <c r="L47" s="17"/>
    </row>
    <row r="48" spans="1:116" x14ac:dyDescent="0.25">
      <c r="A48" s="139">
        <v>43</v>
      </c>
      <c r="B48" s="1">
        <v>1142</v>
      </c>
      <c r="C48" s="9">
        <f>ROUNDUP(t_B5n5_P_Fixed[[#This Row],[Fixed]]-$B$3,0)</f>
        <v>-420</v>
      </c>
      <c r="D48" s="11">
        <f>t_B5n5_P[[#This Row],[x]]-E47</f>
        <v>4</v>
      </c>
      <c r="E48" s="9">
        <v>1142</v>
      </c>
      <c r="F48" s="69">
        <v>1</v>
      </c>
      <c r="G48" s="69">
        <v>4</v>
      </c>
      <c r="H48" s="68">
        <v>0</v>
      </c>
      <c r="I48" s="68">
        <v>3</v>
      </c>
      <c r="J48" s="69">
        <v>2</v>
      </c>
      <c r="K48" s="16"/>
      <c r="L48" s="17"/>
    </row>
    <row r="49" spans="1:12" x14ac:dyDescent="0.25">
      <c r="A49" s="139">
        <v>44</v>
      </c>
      <c r="B49" s="1">
        <v>1178</v>
      </c>
      <c r="C49" s="9">
        <f>ROUNDUP(t_B5n5_P_Fixed[[#This Row],[Fixed]]-$B$3,0)</f>
        <v>-384</v>
      </c>
      <c r="D49" s="11">
        <f>t_B5n5_P[[#This Row],[x]]-E48</f>
        <v>36</v>
      </c>
      <c r="E49" s="1">
        <v>1178</v>
      </c>
      <c r="F49" s="146">
        <v>1</v>
      </c>
      <c r="G49" s="146">
        <v>4</v>
      </c>
      <c r="H49" s="147">
        <v>2</v>
      </c>
      <c r="I49" s="147">
        <v>0</v>
      </c>
      <c r="J49" s="146">
        <v>3</v>
      </c>
      <c r="K49" s="16"/>
      <c r="L49" s="17"/>
    </row>
    <row r="50" spans="1:12" x14ac:dyDescent="0.25">
      <c r="A50" s="139">
        <v>45</v>
      </c>
      <c r="B50" s="1">
        <v>1190</v>
      </c>
      <c r="C50" s="9">
        <f>ROUNDUP(t_B5n5_P_Fixed[[#This Row],[Fixed]]-$B$3,0)</f>
        <v>-372</v>
      </c>
      <c r="D50" s="11">
        <f>t_B5n5_P[[#This Row],[x]]-E49</f>
        <v>12</v>
      </c>
      <c r="E50" s="139">
        <v>1190</v>
      </c>
      <c r="F50" s="88">
        <v>1</v>
      </c>
      <c r="G50" s="88">
        <v>4</v>
      </c>
      <c r="H50" s="87">
        <v>2</v>
      </c>
      <c r="I50" s="87">
        <v>3</v>
      </c>
      <c r="J50" s="88">
        <v>0</v>
      </c>
      <c r="K50" s="16"/>
      <c r="L50" s="17"/>
    </row>
    <row r="51" spans="1:12" x14ac:dyDescent="0.25">
      <c r="A51" s="139">
        <v>46</v>
      </c>
      <c r="B51" s="1">
        <v>1202</v>
      </c>
      <c r="C51" s="9">
        <f>ROUNDUP(t_B5n5_P_Fixed[[#This Row],[Fixed]]-$B$3,0)</f>
        <v>-360</v>
      </c>
      <c r="D51" s="11">
        <f>t_B5n5_P[[#This Row],[x]]-E50</f>
        <v>12</v>
      </c>
      <c r="E51" s="139">
        <v>1202</v>
      </c>
      <c r="F51" s="61">
        <v>1</v>
      </c>
      <c r="G51" s="61">
        <v>4</v>
      </c>
      <c r="H51" s="60">
        <v>3</v>
      </c>
      <c r="I51" s="60">
        <v>0</v>
      </c>
      <c r="J51" s="61">
        <v>2</v>
      </c>
      <c r="K51" s="16"/>
      <c r="L51" s="17"/>
    </row>
    <row r="52" spans="1:12" x14ac:dyDescent="0.25">
      <c r="A52" s="139">
        <v>47</v>
      </c>
      <c r="B52" s="1">
        <v>1210</v>
      </c>
      <c r="C52" s="9">
        <f>ROUNDUP(t_B5n5_P_Fixed[[#This Row],[Fixed]]-$B$3,0)</f>
        <v>-352</v>
      </c>
      <c r="D52" s="11">
        <f>t_B5n5_P[[#This Row],[x]]-E51</f>
        <v>8</v>
      </c>
      <c r="E52" s="139">
        <v>1210</v>
      </c>
      <c r="F52" s="55">
        <v>1</v>
      </c>
      <c r="G52" s="55">
        <v>4</v>
      </c>
      <c r="H52" s="54">
        <v>3</v>
      </c>
      <c r="I52" s="54">
        <v>2</v>
      </c>
      <c r="J52" s="55">
        <v>0</v>
      </c>
      <c r="K52" s="16"/>
      <c r="L52" s="17"/>
    </row>
    <row r="53" spans="1:12" x14ac:dyDescent="0.25">
      <c r="A53" s="139">
        <v>48</v>
      </c>
      <c r="B53" s="1">
        <v>1294</v>
      </c>
      <c r="C53" s="9">
        <f>ROUNDUP(t_B5n5_P_Fixed[[#This Row],[Fixed]]-$B$3,0)</f>
        <v>-268</v>
      </c>
      <c r="D53" s="11">
        <f>t_B5n5_P[[#This Row],[x]]-E52</f>
        <v>84</v>
      </c>
      <c r="E53" s="1">
        <v>1294</v>
      </c>
      <c r="F53" s="86">
        <v>2</v>
      </c>
      <c r="G53" s="86">
        <v>0</v>
      </c>
      <c r="H53" s="85">
        <v>1</v>
      </c>
      <c r="I53" s="85">
        <v>3</v>
      </c>
      <c r="J53" s="86">
        <v>4</v>
      </c>
      <c r="K53" s="16"/>
      <c r="L53" s="17"/>
    </row>
    <row r="54" spans="1:12" x14ac:dyDescent="0.25">
      <c r="A54" s="139">
        <v>49</v>
      </c>
      <c r="B54" s="1">
        <v>1298</v>
      </c>
      <c r="C54" s="9">
        <f>ROUNDUP(t_B5n5_P_Fixed[[#This Row],[Fixed]]-$B$3,0)</f>
        <v>-264</v>
      </c>
      <c r="D54" s="11">
        <f>t_B5n5_P[[#This Row],[x]]-E53</f>
        <v>4</v>
      </c>
      <c r="E54" s="1">
        <v>1298</v>
      </c>
      <c r="F54" s="55">
        <v>2</v>
      </c>
      <c r="G54" s="55">
        <v>0</v>
      </c>
      <c r="H54" s="54">
        <v>1</v>
      </c>
      <c r="I54" s="54">
        <v>4</v>
      </c>
      <c r="J54" s="55">
        <v>3</v>
      </c>
      <c r="K54" s="16"/>
      <c r="L54" s="17"/>
    </row>
    <row r="55" spans="1:12" x14ac:dyDescent="0.25">
      <c r="A55" s="139">
        <v>50</v>
      </c>
      <c r="B55" s="1">
        <v>1334</v>
      </c>
      <c r="C55" s="9">
        <f>ROUNDUP(t_B5n5_P_Fixed[[#This Row],[Fixed]]-$B$3,0)</f>
        <v>-228</v>
      </c>
      <c r="D55" s="11">
        <f>t_B5n5_P[[#This Row],[x]]-E54</f>
        <v>36</v>
      </c>
      <c r="E55" s="139">
        <v>1334</v>
      </c>
      <c r="F55" s="146">
        <v>2</v>
      </c>
      <c r="G55" s="146">
        <v>0</v>
      </c>
      <c r="H55" s="147">
        <v>3</v>
      </c>
      <c r="I55" s="147">
        <v>1</v>
      </c>
      <c r="J55" s="146">
        <v>4</v>
      </c>
      <c r="K55" s="16"/>
      <c r="L55" s="17"/>
    </row>
    <row r="56" spans="1:12" x14ac:dyDescent="0.25">
      <c r="A56" s="139">
        <v>51</v>
      </c>
      <c r="B56" s="1">
        <v>1346</v>
      </c>
      <c r="C56" s="9">
        <f>ROUNDUP(t_B5n5_P_Fixed[[#This Row],[Fixed]]-$B$3,0)</f>
        <v>-216</v>
      </c>
      <c r="D56" s="11">
        <f>t_B5n5_P[[#This Row],[x]]-E55</f>
        <v>12</v>
      </c>
      <c r="E56" s="1">
        <v>1346</v>
      </c>
      <c r="F56" s="80">
        <v>2</v>
      </c>
      <c r="G56" s="80">
        <v>0</v>
      </c>
      <c r="H56" s="79">
        <v>3</v>
      </c>
      <c r="I56" s="79">
        <v>4</v>
      </c>
      <c r="J56" s="80">
        <v>1</v>
      </c>
      <c r="K56" s="16"/>
      <c r="L56" s="17"/>
    </row>
    <row r="57" spans="1:12" x14ac:dyDescent="0.25">
      <c r="A57" s="139">
        <v>52</v>
      </c>
      <c r="B57" s="1">
        <v>1358</v>
      </c>
      <c r="C57" s="9">
        <f>ROUNDUP(t_B5n5_P_Fixed[[#This Row],[Fixed]]-$B$3,0)</f>
        <v>-204</v>
      </c>
      <c r="D57" s="11">
        <f>t_B5n5_P[[#This Row],[x]]-E56</f>
        <v>12</v>
      </c>
      <c r="E57" s="1">
        <v>1358</v>
      </c>
      <c r="F57" s="111">
        <v>2</v>
      </c>
      <c r="G57" s="111">
        <v>0</v>
      </c>
      <c r="H57" s="112">
        <v>4</v>
      </c>
      <c r="I57" s="112">
        <v>1</v>
      </c>
      <c r="J57" s="111">
        <v>3</v>
      </c>
      <c r="K57" s="16"/>
      <c r="L57" s="17"/>
    </row>
    <row r="58" spans="1:12" x14ac:dyDescent="0.25">
      <c r="A58" s="139">
        <v>53</v>
      </c>
      <c r="B58" s="1">
        <v>1366</v>
      </c>
      <c r="C58" s="9">
        <f>ROUNDUP(t_B5n5_P_Fixed[[#This Row],[Fixed]]-$B$3,0)</f>
        <v>-196</v>
      </c>
      <c r="D58" s="11">
        <f>t_B5n5_P[[#This Row],[x]]-E57</f>
        <v>8</v>
      </c>
      <c r="E58" s="9">
        <v>1366</v>
      </c>
      <c r="F58" s="39">
        <v>2</v>
      </c>
      <c r="G58" s="39">
        <v>0</v>
      </c>
      <c r="H58" s="38">
        <v>4</v>
      </c>
      <c r="I58" s="38">
        <v>3</v>
      </c>
      <c r="J58" s="39">
        <v>1</v>
      </c>
      <c r="K58" s="16"/>
      <c r="L58" s="17"/>
    </row>
    <row r="59" spans="1:12" x14ac:dyDescent="0.25">
      <c r="A59" s="139">
        <v>54</v>
      </c>
      <c r="B59" s="1">
        <v>1394</v>
      </c>
      <c r="C59" s="9">
        <f>ROUNDUP(t_B5n5_P_Fixed[[#This Row],[Fixed]]-$B$3,0)</f>
        <v>-168</v>
      </c>
      <c r="D59" s="11">
        <f>t_B5n5_P[[#This Row],[x]]-E58</f>
        <v>28</v>
      </c>
      <c r="E59" s="1">
        <v>1394</v>
      </c>
      <c r="F59" s="142">
        <v>2</v>
      </c>
      <c r="G59" s="142">
        <v>1</v>
      </c>
      <c r="H59" s="143">
        <v>0</v>
      </c>
      <c r="I59" s="143">
        <v>3</v>
      </c>
      <c r="J59" s="142">
        <v>4</v>
      </c>
      <c r="K59" s="16"/>
      <c r="L59" s="17"/>
    </row>
    <row r="60" spans="1:12" x14ac:dyDescent="0.25">
      <c r="A60" s="139">
        <v>55</v>
      </c>
      <c r="B60" s="1">
        <v>1398</v>
      </c>
      <c r="C60" s="9">
        <f>ROUNDUP(t_B5n5_P_Fixed[[#This Row],[Fixed]]-$B$3,0)</f>
        <v>-164</v>
      </c>
      <c r="D60" s="11">
        <f>t_B5n5_P[[#This Row],[x]]-E59</f>
        <v>4</v>
      </c>
      <c r="E60" s="1">
        <v>1398</v>
      </c>
      <c r="F60" s="76">
        <v>2</v>
      </c>
      <c r="G60" s="76">
        <v>1</v>
      </c>
      <c r="H60" s="75">
        <v>0</v>
      </c>
      <c r="I60" s="75">
        <v>4</v>
      </c>
      <c r="J60" s="76">
        <v>3</v>
      </c>
      <c r="K60" s="72"/>
      <c r="L60" s="17"/>
    </row>
    <row r="61" spans="1:12" x14ac:dyDescent="0.25">
      <c r="A61" s="139">
        <v>56</v>
      </c>
      <c r="B61" s="1">
        <v>1454</v>
      </c>
      <c r="C61" s="9">
        <f>ROUNDUP(t_B5n5_P_Fixed[[#This Row],[Fixed]]-$B$3,0)</f>
        <v>-108</v>
      </c>
      <c r="D61" s="11">
        <f>t_B5n5_P[[#This Row],[x]]-E60</f>
        <v>56</v>
      </c>
      <c r="E61" s="1">
        <v>1454</v>
      </c>
      <c r="F61" s="41">
        <v>2</v>
      </c>
      <c r="G61" s="41">
        <v>1</v>
      </c>
      <c r="H61" s="40">
        <v>3</v>
      </c>
      <c r="I61" s="40">
        <v>0</v>
      </c>
      <c r="J61" s="41">
        <v>4</v>
      </c>
      <c r="K61" s="16"/>
      <c r="L61" s="17"/>
    </row>
    <row r="62" spans="1:12" x14ac:dyDescent="0.25">
      <c r="A62" s="139">
        <v>57</v>
      </c>
      <c r="B62" s="1">
        <v>1470</v>
      </c>
      <c r="C62" s="9">
        <f>ROUNDUP(t_B5n5_P_Fixed[[#This Row],[Fixed]]-$B$3,0)</f>
        <v>-92</v>
      </c>
      <c r="D62" s="11">
        <f>t_B5n5_P[[#This Row],[x]]-E61</f>
        <v>16</v>
      </c>
      <c r="E62" s="1">
        <v>1470</v>
      </c>
      <c r="F62" s="51">
        <v>2</v>
      </c>
      <c r="G62" s="51">
        <v>1</v>
      </c>
      <c r="H62" s="50">
        <v>3</v>
      </c>
      <c r="I62" s="50">
        <v>4</v>
      </c>
      <c r="J62" s="51">
        <v>0</v>
      </c>
      <c r="K62" s="16"/>
      <c r="L62" s="17"/>
    </row>
    <row r="63" spans="1:12" x14ac:dyDescent="0.25">
      <c r="A63" s="139">
        <v>58</v>
      </c>
      <c r="B63" s="1">
        <v>1478</v>
      </c>
      <c r="C63" s="9">
        <f>ROUNDUP(t_B5n5_P_Fixed[[#This Row],[Fixed]]-$B$3,0)</f>
        <v>-84</v>
      </c>
      <c r="D63" s="11">
        <f>t_B5n5_P[[#This Row],[x]]-E62</f>
        <v>8</v>
      </c>
      <c r="E63" s="139">
        <v>1478</v>
      </c>
      <c r="F63" s="69">
        <v>2</v>
      </c>
      <c r="G63" s="69">
        <v>1</v>
      </c>
      <c r="H63" s="68">
        <v>4</v>
      </c>
      <c r="I63" s="68">
        <v>0</v>
      </c>
      <c r="J63" s="69">
        <v>3</v>
      </c>
      <c r="K63" s="16"/>
      <c r="L63" s="17"/>
    </row>
    <row r="64" spans="1:12" ht="15.75" thickBot="1" x14ac:dyDescent="0.3">
      <c r="A64" s="6">
        <v>59</v>
      </c>
      <c r="B64" s="6">
        <v>1490</v>
      </c>
      <c r="C64" s="6">
        <f>ROUNDUP(t_B5n5_P_Fixed[[#This Row],[Fixed]]-$B$3,0)</f>
        <v>-72</v>
      </c>
      <c r="D64" s="141">
        <f>t_B5n5_P[[#This Row],[x]]-E63</f>
        <v>12</v>
      </c>
      <c r="E64" s="6">
        <v>1490</v>
      </c>
      <c r="F64" s="204">
        <v>2</v>
      </c>
      <c r="G64" s="204">
        <v>1</v>
      </c>
      <c r="H64" s="205">
        <v>4</v>
      </c>
      <c r="I64" s="205">
        <v>3</v>
      </c>
      <c r="J64" s="204">
        <v>0</v>
      </c>
      <c r="K64" s="25" t="s">
        <v>0</v>
      </c>
      <c r="L64" s="17"/>
    </row>
    <row r="65" spans="1:12" x14ac:dyDescent="0.25">
      <c r="A65" s="139">
        <v>60</v>
      </c>
      <c r="B65" s="1">
        <v>1634</v>
      </c>
      <c r="C65" s="9">
        <f>ROUNDUP(t_B5n5_P_Fixed[[#This Row],[Fixed]]-$B$3,0)</f>
        <v>72</v>
      </c>
      <c r="D65" s="11">
        <f>t_B5n5_P[[#This Row],[x]]-E64</f>
        <v>144</v>
      </c>
      <c r="E65" s="1">
        <v>1634</v>
      </c>
      <c r="F65" s="88">
        <v>2</v>
      </c>
      <c r="G65" s="88">
        <v>3</v>
      </c>
      <c r="H65" s="87">
        <v>0</v>
      </c>
      <c r="I65" s="87">
        <v>1</v>
      </c>
      <c r="J65" s="88">
        <v>4</v>
      </c>
      <c r="K65" s="16"/>
      <c r="L65" s="17"/>
    </row>
    <row r="66" spans="1:12" x14ac:dyDescent="0.25">
      <c r="A66" s="139">
        <v>61</v>
      </c>
      <c r="B66" s="1">
        <v>1646</v>
      </c>
      <c r="C66" s="9">
        <f>ROUNDUP(t_B5n5_P_Fixed[[#This Row],[Fixed]]-$B$3,0)</f>
        <v>84</v>
      </c>
      <c r="D66" s="11">
        <f>t_B5n5_P[[#This Row],[x]]-E65</f>
        <v>12</v>
      </c>
      <c r="E66" s="1">
        <v>1646</v>
      </c>
      <c r="F66" s="78">
        <v>2</v>
      </c>
      <c r="G66" s="78">
        <v>3</v>
      </c>
      <c r="H66" s="77">
        <v>0</v>
      </c>
      <c r="I66" s="77">
        <v>4</v>
      </c>
      <c r="J66" s="78">
        <v>1</v>
      </c>
      <c r="K66" s="16"/>
      <c r="L66" s="17"/>
    </row>
    <row r="67" spans="1:12" x14ac:dyDescent="0.25">
      <c r="A67" s="139">
        <v>62</v>
      </c>
      <c r="B67" s="1">
        <v>1654</v>
      </c>
      <c r="C67" s="9">
        <f>ROUNDUP(t_B5n5_P_Fixed[[#This Row],[Fixed]]-$B$3,0)</f>
        <v>92</v>
      </c>
      <c r="D67" s="11">
        <f>t_B5n5_P[[#This Row],[x]]-E66</f>
        <v>8</v>
      </c>
      <c r="E67" s="139">
        <v>1654</v>
      </c>
      <c r="F67" s="63">
        <v>2</v>
      </c>
      <c r="G67" s="63">
        <v>3</v>
      </c>
      <c r="H67" s="62">
        <v>1</v>
      </c>
      <c r="I67" s="62">
        <v>0</v>
      </c>
      <c r="J67" s="63">
        <v>4</v>
      </c>
      <c r="K67" s="16"/>
      <c r="L67" s="17"/>
    </row>
    <row r="68" spans="1:12" x14ac:dyDescent="0.25">
      <c r="A68" s="139">
        <v>63</v>
      </c>
      <c r="B68" s="1">
        <v>1670</v>
      </c>
      <c r="C68" s="9">
        <f>ROUNDUP(t_B5n5_P_Fixed[[#This Row],[Fixed]]-$B$3,0)</f>
        <v>108</v>
      </c>
      <c r="D68" s="11">
        <f>t_B5n5_P[[#This Row],[x]]-E67</f>
        <v>16</v>
      </c>
      <c r="E68" s="1">
        <v>1670</v>
      </c>
      <c r="F68" s="82">
        <v>2</v>
      </c>
      <c r="G68" s="82">
        <v>3</v>
      </c>
      <c r="H68" s="81">
        <v>1</v>
      </c>
      <c r="I68" s="81">
        <v>4</v>
      </c>
      <c r="J68" s="82">
        <v>0</v>
      </c>
      <c r="K68" s="16"/>
      <c r="L68" s="17"/>
    </row>
    <row r="69" spans="1:12" x14ac:dyDescent="0.25">
      <c r="A69" s="139">
        <v>64</v>
      </c>
      <c r="B69" s="1">
        <v>1726</v>
      </c>
      <c r="C69" s="9">
        <f>ROUNDUP(t_B5n5_P_Fixed[[#This Row],[Fixed]]-$B$3,0)</f>
        <v>164</v>
      </c>
      <c r="D69" s="11">
        <f>t_B5n5_P[[#This Row],[x]]-E68</f>
        <v>56</v>
      </c>
      <c r="E69" s="1">
        <v>1726</v>
      </c>
      <c r="F69" s="137">
        <v>2</v>
      </c>
      <c r="G69" s="137">
        <v>3</v>
      </c>
      <c r="H69" s="136">
        <v>4</v>
      </c>
      <c r="I69" s="136">
        <v>0</v>
      </c>
      <c r="J69" s="137">
        <v>1</v>
      </c>
      <c r="K69" s="16"/>
      <c r="L69" s="17"/>
    </row>
    <row r="70" spans="1:12" x14ac:dyDescent="0.25">
      <c r="A70" s="139">
        <v>65</v>
      </c>
      <c r="B70" s="1">
        <v>1730</v>
      </c>
      <c r="C70" s="9">
        <f>ROUNDUP(t_B5n5_P_Fixed[[#This Row],[Fixed]]-$B$3,0)</f>
        <v>168</v>
      </c>
      <c r="D70" s="11">
        <f>t_B5n5_P[[#This Row],[x]]-E69</f>
        <v>4</v>
      </c>
      <c r="E70" s="1">
        <v>1730</v>
      </c>
      <c r="F70" s="84">
        <v>2</v>
      </c>
      <c r="G70" s="84">
        <v>3</v>
      </c>
      <c r="H70" s="83">
        <v>4</v>
      </c>
      <c r="I70" s="83">
        <v>1</v>
      </c>
      <c r="J70" s="84">
        <v>0</v>
      </c>
      <c r="K70" s="16"/>
      <c r="L70" s="17"/>
    </row>
    <row r="71" spans="1:12" x14ac:dyDescent="0.25">
      <c r="A71" s="139">
        <v>66</v>
      </c>
      <c r="B71" s="1">
        <v>1758</v>
      </c>
      <c r="C71" s="9">
        <f>ROUNDUP(t_B5n5_P_Fixed[[#This Row],[Fixed]]-$B$3,0)</f>
        <v>196</v>
      </c>
      <c r="D71" s="11">
        <f>t_B5n5_P[[#This Row],[x]]-E70</f>
        <v>28</v>
      </c>
      <c r="E71" s="1">
        <v>1758</v>
      </c>
      <c r="F71" s="45">
        <v>2</v>
      </c>
      <c r="G71" s="45">
        <v>4</v>
      </c>
      <c r="H71" s="44">
        <v>0</v>
      </c>
      <c r="I71" s="44">
        <v>1</v>
      </c>
      <c r="J71" s="45">
        <v>3</v>
      </c>
      <c r="K71" s="16"/>
      <c r="L71" s="17"/>
    </row>
    <row r="72" spans="1:12" x14ac:dyDescent="0.25">
      <c r="A72" s="139">
        <v>67</v>
      </c>
      <c r="B72" s="1">
        <v>1766</v>
      </c>
      <c r="C72" s="9">
        <f>ROUNDUP(t_B5n5_P_Fixed[[#This Row],[Fixed]]-$B$3,0)</f>
        <v>204</v>
      </c>
      <c r="D72" s="11">
        <f>t_B5n5_P[[#This Row],[x]]-E71</f>
        <v>8</v>
      </c>
      <c r="E72" s="1">
        <v>1766</v>
      </c>
      <c r="F72" s="144">
        <v>2</v>
      </c>
      <c r="G72" s="144">
        <v>4</v>
      </c>
      <c r="H72" s="145">
        <v>0</v>
      </c>
      <c r="I72" s="145">
        <v>3</v>
      </c>
      <c r="J72" s="144">
        <v>1</v>
      </c>
      <c r="K72" s="16"/>
      <c r="L72" s="17"/>
    </row>
    <row r="73" spans="1:12" x14ac:dyDescent="0.25">
      <c r="A73" s="139">
        <v>68</v>
      </c>
      <c r="B73" s="1">
        <v>1778</v>
      </c>
      <c r="C73" s="9">
        <f>ROUNDUP(t_B5n5_P_Fixed[[#This Row],[Fixed]]-$B$3,0)</f>
        <v>216</v>
      </c>
      <c r="D73" s="11">
        <f>t_B5n5_P[[#This Row],[x]]-E72</f>
        <v>12</v>
      </c>
      <c r="E73" s="1">
        <v>1778</v>
      </c>
      <c r="F73" s="186">
        <v>2</v>
      </c>
      <c r="G73" s="186">
        <v>4</v>
      </c>
      <c r="H73" s="187">
        <v>1</v>
      </c>
      <c r="I73" s="187">
        <v>0</v>
      </c>
      <c r="J73" s="186">
        <v>3</v>
      </c>
      <c r="K73" s="16"/>
      <c r="L73" s="17"/>
    </row>
    <row r="74" spans="1:12" x14ac:dyDescent="0.25">
      <c r="A74" s="139">
        <v>69</v>
      </c>
      <c r="B74" s="1">
        <v>1790</v>
      </c>
      <c r="C74" s="9">
        <f>ROUNDUP(t_B5n5_P_Fixed[[#This Row],[Fixed]]-$B$3,0)</f>
        <v>228</v>
      </c>
      <c r="D74" s="11">
        <f>t_B5n5_P[[#This Row],[x]]-E73</f>
        <v>12</v>
      </c>
      <c r="E74" s="1">
        <v>1790</v>
      </c>
      <c r="F74" s="65">
        <v>2</v>
      </c>
      <c r="G74" s="65">
        <v>4</v>
      </c>
      <c r="H74" s="64">
        <v>1</v>
      </c>
      <c r="I74" s="64">
        <v>3</v>
      </c>
      <c r="J74" s="65">
        <v>0</v>
      </c>
      <c r="K74" s="16"/>
      <c r="L74" s="17"/>
    </row>
    <row r="75" spans="1:12" x14ac:dyDescent="0.25">
      <c r="A75" s="139">
        <v>70</v>
      </c>
      <c r="B75" s="1">
        <v>1826</v>
      </c>
      <c r="C75" s="9">
        <f>ROUNDUP(t_B5n5_P_Fixed[[#This Row],[Fixed]]-$B$3,0)</f>
        <v>264</v>
      </c>
      <c r="D75" s="11">
        <f>t_B5n5_P[[#This Row],[x]]-E74</f>
        <v>36</v>
      </c>
      <c r="E75" s="1">
        <v>1826</v>
      </c>
      <c r="F75" s="43">
        <v>2</v>
      </c>
      <c r="G75" s="43">
        <v>4</v>
      </c>
      <c r="H75" s="42">
        <v>3</v>
      </c>
      <c r="I75" s="42">
        <v>0</v>
      </c>
      <c r="J75" s="43">
        <v>1</v>
      </c>
      <c r="K75" s="16"/>
      <c r="L75" s="17"/>
    </row>
    <row r="76" spans="1:12" x14ac:dyDescent="0.25">
      <c r="A76" s="139">
        <v>71</v>
      </c>
      <c r="B76" s="1">
        <v>1830</v>
      </c>
      <c r="C76" s="9">
        <f>ROUNDUP(t_B5n5_P_Fixed[[#This Row],[Fixed]]-$B$3,0)</f>
        <v>268</v>
      </c>
      <c r="D76" s="11">
        <f>t_B5n5_P[[#This Row],[x]]-E75</f>
        <v>4</v>
      </c>
      <c r="E76" s="139">
        <v>1830</v>
      </c>
      <c r="F76" s="184">
        <v>2</v>
      </c>
      <c r="G76" s="184">
        <v>4</v>
      </c>
      <c r="H76" s="185">
        <v>3</v>
      </c>
      <c r="I76" s="185">
        <v>1</v>
      </c>
      <c r="J76" s="184">
        <v>0</v>
      </c>
      <c r="K76" s="16"/>
      <c r="L76" s="17"/>
    </row>
    <row r="77" spans="1:12" x14ac:dyDescent="0.25">
      <c r="A77" s="139">
        <v>72</v>
      </c>
      <c r="B77" s="1">
        <v>1914</v>
      </c>
      <c r="C77" s="9">
        <f>ROUNDUP(t_B5n5_P_Fixed[[#This Row],[Fixed]]-$B$3,0)</f>
        <v>352</v>
      </c>
      <c r="D77" s="11">
        <f>t_B5n5_P[[#This Row],[x]]-E76</f>
        <v>84</v>
      </c>
      <c r="E77" s="1">
        <v>1914</v>
      </c>
      <c r="F77" s="43">
        <v>3</v>
      </c>
      <c r="G77" s="43">
        <v>0</v>
      </c>
      <c r="H77" s="42">
        <v>1</v>
      </c>
      <c r="I77" s="42">
        <v>2</v>
      </c>
      <c r="J77" s="43">
        <v>4</v>
      </c>
      <c r="K77" s="16"/>
      <c r="L77" s="17"/>
    </row>
    <row r="78" spans="1:12" x14ac:dyDescent="0.25">
      <c r="A78" s="139">
        <v>73</v>
      </c>
      <c r="B78" s="1">
        <v>1922</v>
      </c>
      <c r="C78" s="9">
        <f>ROUNDUP(t_B5n5_P_Fixed[[#This Row],[Fixed]]-$B$3,0)</f>
        <v>360</v>
      </c>
      <c r="D78" s="11">
        <f>t_B5n5_P[[#This Row],[x]]-E77</f>
        <v>8</v>
      </c>
      <c r="E78" s="1">
        <v>1922</v>
      </c>
      <c r="F78" s="88">
        <v>3</v>
      </c>
      <c r="G78" s="88">
        <v>0</v>
      </c>
      <c r="H78" s="87">
        <v>1</v>
      </c>
      <c r="I78" s="87">
        <v>4</v>
      </c>
      <c r="J78" s="88">
        <v>2</v>
      </c>
      <c r="K78" s="16"/>
      <c r="L78" s="17"/>
    </row>
    <row r="79" spans="1:12" x14ac:dyDescent="0.25">
      <c r="A79" s="139">
        <v>74</v>
      </c>
      <c r="B79" s="1">
        <v>1934</v>
      </c>
      <c r="C79" s="9">
        <f>ROUNDUP(t_B5n5_P_Fixed[[#This Row],[Fixed]]-$B$3,0)</f>
        <v>372</v>
      </c>
      <c r="D79" s="11">
        <f>t_B5n5_P[[#This Row],[x]]-E78</f>
        <v>12</v>
      </c>
      <c r="E79" s="1">
        <v>1934</v>
      </c>
      <c r="F79" s="61">
        <v>3</v>
      </c>
      <c r="G79" s="61">
        <v>0</v>
      </c>
      <c r="H79" s="60">
        <v>2</v>
      </c>
      <c r="I79" s="60">
        <v>1</v>
      </c>
      <c r="J79" s="61">
        <v>4</v>
      </c>
      <c r="K79" s="16"/>
      <c r="L79" s="17"/>
    </row>
    <row r="80" spans="1:12" x14ac:dyDescent="0.25">
      <c r="A80" s="139">
        <v>75</v>
      </c>
      <c r="B80" s="1">
        <v>1946</v>
      </c>
      <c r="C80" s="9">
        <f>ROUNDUP(t_B5n5_P_Fixed[[#This Row],[Fixed]]-$B$3,0)</f>
        <v>384</v>
      </c>
      <c r="D80" s="11">
        <f>t_B5n5_P[[#This Row],[x]]-E79</f>
        <v>12</v>
      </c>
      <c r="E80" s="1">
        <v>1946</v>
      </c>
      <c r="F80" s="65">
        <v>3</v>
      </c>
      <c r="G80" s="65">
        <v>0</v>
      </c>
      <c r="H80" s="64">
        <v>2</v>
      </c>
      <c r="I80" s="64">
        <v>4</v>
      </c>
      <c r="J80" s="65">
        <v>1</v>
      </c>
      <c r="K80" s="16"/>
      <c r="L80" s="17"/>
    </row>
    <row r="81" spans="1:47" x14ac:dyDescent="0.25">
      <c r="A81" s="139">
        <v>76</v>
      </c>
      <c r="B81" s="1">
        <v>1982</v>
      </c>
      <c r="C81" s="9">
        <f>ROUNDUP(t_B5n5_P_Fixed[[#This Row],[Fixed]]-$B$3,0)</f>
        <v>420</v>
      </c>
      <c r="D81" s="11">
        <f>t_B5n5_P[[#This Row],[x]]-E80</f>
        <v>36</v>
      </c>
      <c r="E81" s="1">
        <v>1982</v>
      </c>
      <c r="F81" s="78">
        <v>3</v>
      </c>
      <c r="G81" s="78">
        <v>0</v>
      </c>
      <c r="H81" s="77">
        <v>4</v>
      </c>
      <c r="I81" s="77">
        <v>1</v>
      </c>
      <c r="J81" s="78">
        <v>2</v>
      </c>
      <c r="K81" s="16"/>
      <c r="L81" s="17"/>
    </row>
    <row r="82" spans="1:47" x14ac:dyDescent="0.25">
      <c r="A82" s="139">
        <v>77</v>
      </c>
      <c r="B82" s="1">
        <v>1986</v>
      </c>
      <c r="C82" s="9">
        <f>ROUNDUP(t_B5n5_P_Fixed[[#This Row],[Fixed]]-$B$3,0)</f>
        <v>424</v>
      </c>
      <c r="D82" s="11">
        <f>t_B5n5_P[[#This Row],[x]]-E81</f>
        <v>4</v>
      </c>
      <c r="E82" s="9">
        <v>1986</v>
      </c>
      <c r="F82" s="41">
        <v>3</v>
      </c>
      <c r="G82" s="41">
        <v>0</v>
      </c>
      <c r="H82" s="40">
        <v>4</v>
      </c>
      <c r="I82" s="40">
        <v>2</v>
      </c>
      <c r="J82" s="41">
        <v>1</v>
      </c>
      <c r="K82" s="16"/>
      <c r="L82" s="17"/>
    </row>
    <row r="83" spans="1:47" x14ac:dyDescent="0.25">
      <c r="A83" s="139">
        <v>78</v>
      </c>
      <c r="B83" s="1">
        <v>2014</v>
      </c>
      <c r="C83" s="9">
        <f>ROUNDUP(t_B5n5_P_Fixed[[#This Row],[Fixed]]-$B$3,0)</f>
        <v>452</v>
      </c>
      <c r="D83" s="11">
        <f>t_B5n5_P[[#This Row],[x]]-E82</f>
        <v>28</v>
      </c>
      <c r="E83" s="139">
        <v>2014</v>
      </c>
      <c r="F83" s="184">
        <v>3</v>
      </c>
      <c r="G83" s="184">
        <v>1</v>
      </c>
      <c r="H83" s="185">
        <v>0</v>
      </c>
      <c r="I83" s="185">
        <v>2</v>
      </c>
      <c r="J83" s="184">
        <v>4</v>
      </c>
      <c r="K83" s="16"/>
      <c r="L83" s="17"/>
    </row>
    <row r="84" spans="1:47" x14ac:dyDescent="0.25">
      <c r="A84" s="139">
        <v>79</v>
      </c>
      <c r="B84" s="1">
        <v>2022</v>
      </c>
      <c r="C84" s="9">
        <f>ROUNDUP(t_B5n5_P_Fixed[[#This Row],[Fixed]]-$B$3,0)</f>
        <v>460</v>
      </c>
      <c r="D84" s="11">
        <f>t_B5n5_P[[#This Row],[x]]-E83</f>
        <v>8</v>
      </c>
      <c r="E84" s="138">
        <v>2022</v>
      </c>
      <c r="F84" s="63">
        <v>3</v>
      </c>
      <c r="G84" s="63">
        <v>1</v>
      </c>
      <c r="H84" s="62">
        <v>0</v>
      </c>
      <c r="I84" s="62">
        <v>4</v>
      </c>
      <c r="J84" s="63">
        <v>2</v>
      </c>
      <c r="K84" s="16"/>
      <c r="L84" s="17"/>
    </row>
    <row r="85" spans="1:47" x14ac:dyDescent="0.25">
      <c r="A85" s="139">
        <v>80</v>
      </c>
      <c r="B85" s="1">
        <v>2054</v>
      </c>
      <c r="C85" s="9">
        <f>ROUNDUP(t_B5n5_P_Fixed[[#This Row],[Fixed]]-$B$3,0)</f>
        <v>492</v>
      </c>
      <c r="D85" s="11">
        <f>t_B5n5_P[[#This Row],[x]]-E84</f>
        <v>32</v>
      </c>
      <c r="E85" s="139">
        <v>2054</v>
      </c>
      <c r="F85" s="39">
        <v>3</v>
      </c>
      <c r="G85" s="39">
        <v>1</v>
      </c>
      <c r="H85" s="38">
        <v>2</v>
      </c>
      <c r="I85" s="38">
        <v>0</v>
      </c>
      <c r="J85" s="39">
        <v>4</v>
      </c>
      <c r="K85" s="16"/>
      <c r="L85" s="17"/>
    </row>
    <row r="86" spans="1:47" x14ac:dyDescent="0.25">
      <c r="A86" s="139">
        <v>81</v>
      </c>
      <c r="B86" s="1">
        <v>2070</v>
      </c>
      <c r="C86" s="9">
        <f>ROUNDUP(t_B5n5_P_Fixed[[#This Row],[Fixed]]-$B$3,0)</f>
        <v>508</v>
      </c>
      <c r="D86" s="11">
        <f>t_B5n5_P[[#This Row],[x]]-E85</f>
        <v>16</v>
      </c>
      <c r="E86" s="1">
        <v>2070</v>
      </c>
      <c r="F86" s="144">
        <v>3</v>
      </c>
      <c r="G86" s="144">
        <v>1</v>
      </c>
      <c r="H86" s="145">
        <v>2</v>
      </c>
      <c r="I86" s="145">
        <v>4</v>
      </c>
      <c r="J86" s="144">
        <v>0</v>
      </c>
      <c r="K86" s="16"/>
      <c r="L86" s="17"/>
    </row>
    <row r="87" spans="1:47" x14ac:dyDescent="0.25">
      <c r="A87" s="139">
        <v>82</v>
      </c>
      <c r="B87" s="1">
        <v>2102</v>
      </c>
      <c r="C87" s="9">
        <f>ROUNDUP(t_B5n5_P_Fixed[[#This Row],[Fixed]]-$B$3,0)</f>
        <v>540</v>
      </c>
      <c r="D87" s="11">
        <f>t_B5n5_P[[#This Row],[x]]-E86</f>
        <v>32</v>
      </c>
      <c r="E87" s="1">
        <v>2102</v>
      </c>
      <c r="F87" s="82">
        <v>3</v>
      </c>
      <c r="G87" s="82">
        <v>1</v>
      </c>
      <c r="H87" s="81">
        <v>4</v>
      </c>
      <c r="I87" s="81">
        <v>0</v>
      </c>
      <c r="J87" s="82">
        <v>2</v>
      </c>
      <c r="K87" s="16"/>
      <c r="L87" s="17"/>
    </row>
    <row r="88" spans="1:47" x14ac:dyDescent="0.25">
      <c r="A88" s="139">
        <v>83</v>
      </c>
      <c r="B88" s="1">
        <v>2110</v>
      </c>
      <c r="C88" s="9">
        <f>ROUNDUP(t_B5n5_P_Fixed[[#This Row],[Fixed]]-$B$3,0)</f>
        <v>548</v>
      </c>
      <c r="D88" s="11">
        <f>t_B5n5_P[[#This Row],[x]]-E87</f>
        <v>8</v>
      </c>
      <c r="E88" s="1">
        <v>2110</v>
      </c>
      <c r="F88" s="146">
        <v>3</v>
      </c>
      <c r="G88" s="146">
        <v>1</v>
      </c>
      <c r="H88" s="147">
        <v>4</v>
      </c>
      <c r="I88" s="147">
        <v>2</v>
      </c>
      <c r="J88" s="146">
        <v>0</v>
      </c>
      <c r="K88" s="16"/>
      <c r="L88" s="17"/>
    </row>
    <row r="89" spans="1:47" x14ac:dyDescent="0.25">
      <c r="A89" s="139">
        <v>84</v>
      </c>
      <c r="B89" s="1">
        <v>2134</v>
      </c>
      <c r="C89" s="9">
        <f>ROUNDUP(t_B5n5_P_Fixed[[#This Row],[Fixed]]-$B$3,0)</f>
        <v>572</v>
      </c>
      <c r="D89" s="11">
        <f>t_B5n5_P[[#This Row],[x]]-E88</f>
        <v>24</v>
      </c>
      <c r="E89" s="1">
        <v>2134</v>
      </c>
      <c r="F89" s="55">
        <v>3</v>
      </c>
      <c r="G89" s="55">
        <v>2</v>
      </c>
      <c r="H89" s="54">
        <v>0</v>
      </c>
      <c r="I89" s="54">
        <v>1</v>
      </c>
      <c r="J89" s="55">
        <v>4</v>
      </c>
      <c r="K89" s="16"/>
      <c r="L89" s="17"/>
    </row>
    <row r="90" spans="1:47" x14ac:dyDescent="0.25">
      <c r="A90" s="139">
        <v>85</v>
      </c>
      <c r="B90" s="1">
        <v>2146</v>
      </c>
      <c r="C90" s="9">
        <f>ROUNDUP(t_B5n5_P_Fixed[[#This Row],[Fixed]]-$B$3,0)</f>
        <v>584</v>
      </c>
      <c r="D90" s="11">
        <f>t_B5n5_P[[#This Row],[x]]-E89</f>
        <v>12</v>
      </c>
      <c r="E90" s="1">
        <v>2146</v>
      </c>
      <c r="F90" s="111">
        <v>3</v>
      </c>
      <c r="G90" s="111">
        <v>2</v>
      </c>
      <c r="H90" s="112">
        <v>0</v>
      </c>
      <c r="I90" s="112">
        <v>4</v>
      </c>
      <c r="J90" s="111">
        <v>1</v>
      </c>
      <c r="K90" s="16"/>
      <c r="L90" s="17"/>
    </row>
    <row r="91" spans="1:47" x14ac:dyDescent="0.25">
      <c r="A91" s="139">
        <v>86</v>
      </c>
      <c r="B91" s="1">
        <v>2154</v>
      </c>
      <c r="C91" s="9">
        <f>ROUNDUP(t_B5n5_P_Fixed[[#This Row],[Fixed]]-$B$3,0)</f>
        <v>592</v>
      </c>
      <c r="D91" s="11">
        <f>t_B5n5_P[[#This Row],[x]]-E90</f>
        <v>8</v>
      </c>
      <c r="E91" s="1">
        <v>2154</v>
      </c>
      <c r="F91" s="76">
        <v>3</v>
      </c>
      <c r="G91" s="76">
        <v>2</v>
      </c>
      <c r="H91" s="75">
        <v>1</v>
      </c>
      <c r="I91" s="75">
        <v>0</v>
      </c>
      <c r="J91" s="76">
        <v>4</v>
      </c>
      <c r="K91" s="72"/>
      <c r="L91" s="17"/>
    </row>
    <row r="92" spans="1:47" x14ac:dyDescent="0.25">
      <c r="A92" s="139">
        <v>87</v>
      </c>
      <c r="B92" s="1">
        <v>2170</v>
      </c>
      <c r="C92" s="9">
        <f>ROUNDUP(t_B5n5_P_Fixed[[#This Row],[Fixed]]-$B$3,0)</f>
        <v>608</v>
      </c>
      <c r="D92" s="11">
        <f>t_B5n5_P[[#This Row],[x]]-E91</f>
        <v>16</v>
      </c>
      <c r="E92" s="139">
        <v>2170</v>
      </c>
      <c r="F92" s="69">
        <v>3</v>
      </c>
      <c r="G92" s="69">
        <v>2</v>
      </c>
      <c r="H92" s="68">
        <v>1</v>
      </c>
      <c r="I92" s="68">
        <v>4</v>
      </c>
      <c r="J92" s="69">
        <v>0</v>
      </c>
      <c r="K92" s="16"/>
      <c r="L92" s="17"/>
    </row>
    <row r="93" spans="1:47" x14ac:dyDescent="0.25">
      <c r="A93" s="139">
        <v>88</v>
      </c>
      <c r="B93" s="1">
        <v>2226</v>
      </c>
      <c r="C93" s="9">
        <f>ROUNDUP(t_B5n5_P_Fixed[[#This Row],[Fixed]]-$B$3,0)</f>
        <v>664</v>
      </c>
      <c r="D93" s="11">
        <f>t_B5n5_P[[#This Row],[x]]-E92</f>
        <v>56</v>
      </c>
      <c r="E93" s="1">
        <v>2226</v>
      </c>
      <c r="F93" s="45">
        <v>3</v>
      </c>
      <c r="G93" s="45">
        <v>2</v>
      </c>
      <c r="H93" s="44">
        <v>4</v>
      </c>
      <c r="I93" s="44">
        <v>0</v>
      </c>
      <c r="J93" s="45">
        <v>1</v>
      </c>
      <c r="K93" s="16"/>
      <c r="L93" s="17"/>
    </row>
    <row r="94" spans="1:47" x14ac:dyDescent="0.25">
      <c r="A94" s="139">
        <v>89</v>
      </c>
      <c r="B94" s="1">
        <v>2230</v>
      </c>
      <c r="C94" s="9">
        <f>ROUNDUP(t_B5n5_P_Fixed[[#This Row],[Fixed]]-$B$3,0)</f>
        <v>668</v>
      </c>
      <c r="D94" s="11">
        <f>t_B5n5_P[[#This Row],[x]]-E93</f>
        <v>4</v>
      </c>
      <c r="E94" s="1">
        <v>2230</v>
      </c>
      <c r="F94" s="186">
        <v>3</v>
      </c>
      <c r="G94" s="186">
        <v>2</v>
      </c>
      <c r="H94" s="187">
        <v>4</v>
      </c>
      <c r="I94" s="187">
        <v>1</v>
      </c>
      <c r="J94" s="186">
        <v>0</v>
      </c>
      <c r="K94" s="16"/>
      <c r="L94" s="17"/>
      <c r="AU94" s="209"/>
    </row>
    <row r="95" spans="1:47" x14ac:dyDescent="0.25">
      <c r="A95" s="139">
        <v>90</v>
      </c>
      <c r="B95" s="1">
        <v>2382</v>
      </c>
      <c r="C95" s="9">
        <f>ROUNDUP(t_B5n5_P_Fixed[[#This Row],[Fixed]]-$B$3,0)</f>
        <v>820</v>
      </c>
      <c r="D95" s="11">
        <f>t_B5n5_P[[#This Row],[x]]-E94</f>
        <v>152</v>
      </c>
      <c r="E95" s="1">
        <v>2382</v>
      </c>
      <c r="F95" s="137">
        <v>3</v>
      </c>
      <c r="G95" s="137">
        <v>4</v>
      </c>
      <c r="H95" s="136">
        <v>0</v>
      </c>
      <c r="I95" s="136">
        <v>1</v>
      </c>
      <c r="J95" s="137">
        <v>2</v>
      </c>
      <c r="K95" s="16"/>
      <c r="L95" s="17"/>
    </row>
    <row r="96" spans="1:47" x14ac:dyDescent="0.25">
      <c r="A96" s="139">
        <v>91</v>
      </c>
      <c r="B96" s="1">
        <v>2386</v>
      </c>
      <c r="C96" s="9">
        <f>ROUNDUP(t_B5n5_P_Fixed[[#This Row],[Fixed]]-$B$3,0)</f>
        <v>824</v>
      </c>
      <c r="D96" s="11">
        <f>t_B5n5_P[[#This Row],[x]]-E95</f>
        <v>4</v>
      </c>
      <c r="E96" s="1">
        <v>2386</v>
      </c>
      <c r="F96" s="51">
        <v>3</v>
      </c>
      <c r="G96" s="51">
        <v>4</v>
      </c>
      <c r="H96" s="50">
        <v>0</v>
      </c>
      <c r="I96" s="50">
        <v>2</v>
      </c>
      <c r="J96" s="51">
        <v>1</v>
      </c>
      <c r="K96" s="16"/>
      <c r="L96" s="17"/>
    </row>
    <row r="97" spans="1:12" x14ac:dyDescent="0.25">
      <c r="A97" s="139">
        <v>92</v>
      </c>
      <c r="B97" s="1">
        <v>2402</v>
      </c>
      <c r="C97" s="9">
        <f>ROUNDUP(t_B5n5_P_Fixed[[#This Row],[Fixed]]-$B$3,0)</f>
        <v>840</v>
      </c>
      <c r="D97" s="11">
        <f>t_B5n5_P[[#This Row],[x]]-E96</f>
        <v>16</v>
      </c>
      <c r="E97" s="139">
        <v>2402</v>
      </c>
      <c r="F97" s="84">
        <v>3</v>
      </c>
      <c r="G97" s="84">
        <v>4</v>
      </c>
      <c r="H97" s="83">
        <v>1</v>
      </c>
      <c r="I97" s="83">
        <v>0</v>
      </c>
      <c r="J97" s="84">
        <v>2</v>
      </c>
      <c r="K97" s="16"/>
      <c r="L97" s="17"/>
    </row>
    <row r="98" spans="1:12" x14ac:dyDescent="0.25">
      <c r="A98" s="139">
        <v>93</v>
      </c>
      <c r="B98" s="1">
        <v>2410</v>
      </c>
      <c r="C98" s="9">
        <f>ROUNDUP(t_B5n5_P_Fixed[[#This Row],[Fixed]]-$B$3,0)</f>
        <v>848</v>
      </c>
      <c r="D98" s="11">
        <f>t_B5n5_P[[#This Row],[x]]-E97</f>
        <v>8</v>
      </c>
      <c r="E98" s="1">
        <v>2410</v>
      </c>
      <c r="F98" s="80">
        <v>3</v>
      </c>
      <c r="G98" s="80">
        <v>4</v>
      </c>
      <c r="H98" s="79">
        <v>1</v>
      </c>
      <c r="I98" s="79">
        <v>2</v>
      </c>
      <c r="J98" s="80">
        <v>0</v>
      </c>
      <c r="K98" s="16"/>
      <c r="L98" s="17"/>
    </row>
    <row r="99" spans="1:12" x14ac:dyDescent="0.25">
      <c r="A99" s="139">
        <v>94</v>
      </c>
      <c r="B99" s="1">
        <v>2426</v>
      </c>
      <c r="C99" s="9">
        <f>ROUNDUP(t_B5n5_P_Fixed[[#This Row],[Fixed]]-$B$3,0)</f>
        <v>864</v>
      </c>
      <c r="D99" s="11">
        <f>t_B5n5_P[[#This Row],[x]]-E98</f>
        <v>16</v>
      </c>
      <c r="E99" s="1">
        <v>2426</v>
      </c>
      <c r="F99" s="86">
        <v>3</v>
      </c>
      <c r="G99" s="86">
        <v>4</v>
      </c>
      <c r="H99" s="85">
        <v>2</v>
      </c>
      <c r="I99" s="85">
        <v>0</v>
      </c>
      <c r="J99" s="86">
        <v>1</v>
      </c>
      <c r="K99" s="16"/>
      <c r="L99" s="17"/>
    </row>
    <row r="100" spans="1:12" x14ac:dyDescent="0.25">
      <c r="A100" s="139">
        <v>95</v>
      </c>
      <c r="B100" s="1">
        <v>2430</v>
      </c>
      <c r="C100" s="9">
        <f>ROUNDUP(t_B5n5_P_Fixed[[#This Row],[Fixed]]-$B$3,0)</f>
        <v>868</v>
      </c>
      <c r="D100" s="11">
        <f>t_B5n5_P[[#This Row],[x]]-E99</f>
        <v>4</v>
      </c>
      <c r="E100" s="1">
        <v>2430</v>
      </c>
      <c r="F100" s="142">
        <v>3</v>
      </c>
      <c r="G100" s="142">
        <v>4</v>
      </c>
      <c r="H100" s="143">
        <v>2</v>
      </c>
      <c r="I100" s="143">
        <v>1</v>
      </c>
      <c r="J100" s="142">
        <v>0</v>
      </c>
      <c r="K100" s="16"/>
      <c r="L100" s="17"/>
    </row>
    <row r="101" spans="1:12" x14ac:dyDescent="0.25">
      <c r="A101" s="139">
        <v>96</v>
      </c>
      <c r="B101" s="1">
        <v>2538</v>
      </c>
      <c r="C101" s="9">
        <f>ROUNDUP(t_B5n5_P_Fixed[[#This Row],[Fixed]]-$B$3,0)</f>
        <v>976</v>
      </c>
      <c r="D101" s="11">
        <f>t_B5n5_P[[#This Row],[x]]-E100</f>
        <v>108</v>
      </c>
      <c r="E101" s="1">
        <v>2538</v>
      </c>
      <c r="F101" s="137">
        <v>4</v>
      </c>
      <c r="G101" s="137">
        <v>0</v>
      </c>
      <c r="H101" s="136">
        <v>1</v>
      </c>
      <c r="I101" s="136">
        <v>2</v>
      </c>
      <c r="J101" s="137">
        <v>3</v>
      </c>
      <c r="K101" s="16"/>
      <c r="L101" s="17"/>
    </row>
    <row r="102" spans="1:12" x14ac:dyDescent="0.25">
      <c r="A102" s="139">
        <v>97</v>
      </c>
      <c r="B102" s="1">
        <v>2542</v>
      </c>
      <c r="C102" s="9">
        <f>ROUNDUP(t_B5n5_P_Fixed[[#This Row],[Fixed]]-$B$3,0)</f>
        <v>980</v>
      </c>
      <c r="D102" s="11">
        <f>t_B5n5_P[[#This Row],[x]]-E101</f>
        <v>4</v>
      </c>
      <c r="E102" s="1">
        <v>2542</v>
      </c>
      <c r="F102" s="45">
        <v>4</v>
      </c>
      <c r="G102" s="45">
        <v>0</v>
      </c>
      <c r="H102" s="44">
        <v>1</v>
      </c>
      <c r="I102" s="44">
        <v>3</v>
      </c>
      <c r="J102" s="45">
        <v>2</v>
      </c>
      <c r="K102" s="16"/>
      <c r="L102" s="17"/>
    </row>
    <row r="103" spans="1:12" x14ac:dyDescent="0.25">
      <c r="A103" s="139">
        <v>98</v>
      </c>
      <c r="B103" s="1">
        <v>2558</v>
      </c>
      <c r="C103" s="9">
        <f>ROUNDUP(t_B5n5_P_Fixed[[#This Row],[Fixed]]-$B$3,0)</f>
        <v>996</v>
      </c>
      <c r="D103" s="11">
        <f>t_B5n5_P[[#This Row],[x]]-E102</f>
        <v>16</v>
      </c>
      <c r="E103" s="1">
        <v>2558</v>
      </c>
      <c r="F103" s="51">
        <v>4</v>
      </c>
      <c r="G103" s="51">
        <v>0</v>
      </c>
      <c r="H103" s="50">
        <v>2</v>
      </c>
      <c r="I103" s="50">
        <v>1</v>
      </c>
      <c r="J103" s="51">
        <v>3</v>
      </c>
      <c r="K103" s="16"/>
      <c r="L103" s="17"/>
    </row>
    <row r="104" spans="1:12" x14ac:dyDescent="0.25">
      <c r="A104" s="139">
        <v>99</v>
      </c>
      <c r="B104" s="1">
        <v>2566</v>
      </c>
      <c r="C104" s="9">
        <f>ROUNDUP(t_B5n5_P_Fixed[[#This Row],[Fixed]]-$B$3,0)</f>
        <v>1004</v>
      </c>
      <c r="D104" s="11">
        <f>t_B5n5_P[[#This Row],[x]]-E103</f>
        <v>8</v>
      </c>
      <c r="E104" s="1">
        <v>2566</v>
      </c>
      <c r="F104" s="82">
        <v>4</v>
      </c>
      <c r="G104" s="82">
        <v>0</v>
      </c>
      <c r="H104" s="81">
        <v>2</v>
      </c>
      <c r="I104" s="81">
        <v>3</v>
      </c>
      <c r="J104" s="82">
        <v>1</v>
      </c>
      <c r="K104" s="16"/>
      <c r="L104" s="17"/>
    </row>
    <row r="105" spans="1:12" x14ac:dyDescent="0.25">
      <c r="A105" s="139">
        <v>100</v>
      </c>
      <c r="B105" s="1">
        <v>2582</v>
      </c>
      <c r="C105" s="9">
        <f>ROUNDUP(t_B5n5_P_Fixed[[#This Row],[Fixed]]-$B$3,0)</f>
        <v>1020</v>
      </c>
      <c r="D105" s="11">
        <f>t_B5n5_P[[#This Row],[x]]-E104</f>
        <v>16</v>
      </c>
      <c r="E105" s="1">
        <v>2582</v>
      </c>
      <c r="F105" s="144">
        <v>4</v>
      </c>
      <c r="G105" s="144">
        <v>0</v>
      </c>
      <c r="H105" s="145">
        <v>3</v>
      </c>
      <c r="I105" s="145">
        <v>1</v>
      </c>
      <c r="J105" s="144">
        <v>2</v>
      </c>
      <c r="K105" s="16"/>
      <c r="L105" s="17"/>
    </row>
    <row r="106" spans="1:12" x14ac:dyDescent="0.25">
      <c r="A106" s="139">
        <v>101</v>
      </c>
      <c r="B106" s="1">
        <v>2586</v>
      </c>
      <c r="C106" s="9">
        <f>ROUNDUP(t_B5n5_P_Fixed[[#This Row],[Fixed]]-$B$3,0)</f>
        <v>1024</v>
      </c>
      <c r="D106" s="11">
        <f>t_B5n5_P[[#This Row],[x]]-E105</f>
        <v>4</v>
      </c>
      <c r="E106" s="1">
        <v>2586</v>
      </c>
      <c r="F106" s="69">
        <v>4</v>
      </c>
      <c r="G106" s="69">
        <v>0</v>
      </c>
      <c r="H106" s="68">
        <v>3</v>
      </c>
      <c r="I106" s="68">
        <v>2</v>
      </c>
      <c r="J106" s="69">
        <v>1</v>
      </c>
      <c r="K106" s="16"/>
      <c r="L106" s="17"/>
    </row>
    <row r="107" spans="1:12" x14ac:dyDescent="0.25">
      <c r="A107" s="139">
        <v>102</v>
      </c>
      <c r="B107" s="1">
        <v>2638</v>
      </c>
      <c r="C107" s="9">
        <f>ROUNDUP(t_B5n5_P_Fixed[[#This Row],[Fixed]]-$B$3,0)</f>
        <v>1076</v>
      </c>
      <c r="D107" s="11">
        <f>t_B5n5_P[[#This Row],[x]]-E106</f>
        <v>52</v>
      </c>
      <c r="E107" s="1">
        <v>2638</v>
      </c>
      <c r="F107" s="84">
        <v>4</v>
      </c>
      <c r="G107" s="84">
        <v>1</v>
      </c>
      <c r="H107" s="83">
        <v>0</v>
      </c>
      <c r="I107" s="83">
        <v>2</v>
      </c>
      <c r="J107" s="84">
        <v>3</v>
      </c>
      <c r="K107" s="16"/>
      <c r="L107" s="17"/>
    </row>
    <row r="108" spans="1:12" x14ac:dyDescent="0.25">
      <c r="A108" s="139">
        <v>103</v>
      </c>
      <c r="B108" s="1">
        <v>2642</v>
      </c>
      <c r="C108" s="9">
        <f>ROUNDUP(t_B5n5_P_Fixed[[#This Row],[Fixed]]-$B$3,0)</f>
        <v>1080</v>
      </c>
      <c r="D108" s="11">
        <f>t_B5n5_P[[#This Row],[x]]-E107</f>
        <v>4</v>
      </c>
      <c r="E108" s="1">
        <v>2642</v>
      </c>
      <c r="F108" s="186">
        <v>4</v>
      </c>
      <c r="G108" s="186">
        <v>1</v>
      </c>
      <c r="H108" s="187">
        <v>0</v>
      </c>
      <c r="I108" s="187">
        <v>3</v>
      </c>
      <c r="J108" s="186">
        <v>2</v>
      </c>
      <c r="K108" s="16"/>
      <c r="L108" s="17"/>
    </row>
    <row r="109" spans="1:12" x14ac:dyDescent="0.25">
      <c r="A109" s="139">
        <v>104</v>
      </c>
      <c r="B109" s="1">
        <v>2678</v>
      </c>
      <c r="C109" s="9">
        <f>ROUNDUP(t_B5n5_P_Fixed[[#This Row],[Fixed]]-$B$3,0)</f>
        <v>1116</v>
      </c>
      <c r="D109" s="11">
        <f>t_B5n5_P[[#This Row],[x]]-E108</f>
        <v>36</v>
      </c>
      <c r="E109" s="1">
        <v>2678</v>
      </c>
      <c r="F109" s="80">
        <v>4</v>
      </c>
      <c r="G109" s="80">
        <v>1</v>
      </c>
      <c r="H109" s="79">
        <v>2</v>
      </c>
      <c r="I109" s="79">
        <v>0</v>
      </c>
      <c r="J109" s="80">
        <v>3</v>
      </c>
      <c r="K109" s="16"/>
      <c r="L109" s="17"/>
    </row>
    <row r="110" spans="1:12" x14ac:dyDescent="0.25">
      <c r="A110" s="139">
        <v>105</v>
      </c>
      <c r="B110" s="1">
        <v>2690</v>
      </c>
      <c r="C110" s="9">
        <f>ROUNDUP(t_B5n5_P_Fixed[[#This Row],[Fixed]]-$B$3,0)</f>
        <v>1128</v>
      </c>
      <c r="D110" s="11">
        <f>t_B5n5_P[[#This Row],[x]]-E109</f>
        <v>12</v>
      </c>
      <c r="E110" s="1">
        <v>2690</v>
      </c>
      <c r="F110" s="78">
        <v>4</v>
      </c>
      <c r="G110" s="78">
        <v>1</v>
      </c>
      <c r="H110" s="77">
        <v>2</v>
      </c>
      <c r="I110" s="77">
        <v>3</v>
      </c>
      <c r="J110" s="78">
        <v>0</v>
      </c>
      <c r="K110" s="16"/>
      <c r="L110" s="17"/>
    </row>
    <row r="111" spans="1:12" x14ac:dyDescent="0.25">
      <c r="A111" s="139">
        <v>106</v>
      </c>
      <c r="B111" s="1">
        <v>2702</v>
      </c>
      <c r="C111" s="9">
        <f>ROUNDUP(t_B5n5_P_Fixed[[#This Row],[Fixed]]-$B$3,0)</f>
        <v>1140</v>
      </c>
      <c r="D111" s="11">
        <f>t_B5n5_P[[#This Row],[x]]-E110</f>
        <v>12</v>
      </c>
      <c r="E111" s="139">
        <v>2702</v>
      </c>
      <c r="F111" s="65">
        <v>4</v>
      </c>
      <c r="G111" s="65">
        <v>1</v>
      </c>
      <c r="H111" s="64">
        <v>3</v>
      </c>
      <c r="I111" s="64">
        <v>0</v>
      </c>
      <c r="J111" s="65">
        <v>2</v>
      </c>
      <c r="K111" s="16"/>
      <c r="L111" s="17"/>
    </row>
    <row r="112" spans="1:12" x14ac:dyDescent="0.25">
      <c r="A112" s="139">
        <v>107</v>
      </c>
      <c r="B112" s="1">
        <v>2710</v>
      </c>
      <c r="C112" s="9">
        <f>ROUNDUP(t_B5n5_P_Fixed[[#This Row],[Fixed]]-$B$3,0)</f>
        <v>1148</v>
      </c>
      <c r="D112" s="11">
        <f>t_B5n5_P[[#This Row],[x]]-E111</f>
        <v>8</v>
      </c>
      <c r="E112" s="1">
        <v>2710</v>
      </c>
      <c r="F112" s="111">
        <v>4</v>
      </c>
      <c r="G112" s="111">
        <v>1</v>
      </c>
      <c r="H112" s="112">
        <v>3</v>
      </c>
      <c r="I112" s="112">
        <v>2</v>
      </c>
      <c r="J112" s="111">
        <v>0</v>
      </c>
      <c r="K112" s="16"/>
      <c r="L112" s="17"/>
    </row>
    <row r="113" spans="1:12" x14ac:dyDescent="0.25">
      <c r="A113" s="139">
        <v>108</v>
      </c>
      <c r="B113" s="1">
        <v>2758</v>
      </c>
      <c r="C113" s="9">
        <f>ROUNDUP(t_B5n5_P_Fixed[[#This Row],[Fixed]]-$B$3,0)</f>
        <v>1196</v>
      </c>
      <c r="D113" s="11">
        <f>t_B5n5_P[[#This Row],[x]]-E112</f>
        <v>48</v>
      </c>
      <c r="E113" s="1">
        <v>2758</v>
      </c>
      <c r="F113" s="86">
        <v>4</v>
      </c>
      <c r="G113" s="86">
        <v>2</v>
      </c>
      <c r="H113" s="85">
        <v>0</v>
      </c>
      <c r="I113" s="85">
        <v>1</v>
      </c>
      <c r="J113" s="86">
        <v>3</v>
      </c>
      <c r="K113" s="16"/>
      <c r="L113" s="17"/>
    </row>
    <row r="114" spans="1:12" x14ac:dyDescent="0.25">
      <c r="A114" s="139">
        <v>109</v>
      </c>
      <c r="B114" s="1">
        <v>2766</v>
      </c>
      <c r="C114" s="9">
        <f>ROUNDUP(t_B5n5_P_Fixed[[#This Row],[Fixed]]-$B$3,0)</f>
        <v>1204</v>
      </c>
      <c r="D114" s="11">
        <f>t_B5n5_P[[#This Row],[x]]-E113</f>
        <v>8</v>
      </c>
      <c r="E114" s="1">
        <v>2766</v>
      </c>
      <c r="F114" s="146">
        <v>4</v>
      </c>
      <c r="G114" s="146">
        <v>2</v>
      </c>
      <c r="H114" s="147">
        <v>0</v>
      </c>
      <c r="I114" s="147">
        <v>3</v>
      </c>
      <c r="J114" s="146">
        <v>1</v>
      </c>
      <c r="K114" s="16"/>
      <c r="L114" s="17"/>
    </row>
    <row r="115" spans="1:12" x14ac:dyDescent="0.25">
      <c r="A115" s="139">
        <v>110</v>
      </c>
      <c r="B115" s="1">
        <v>2778</v>
      </c>
      <c r="C115" s="9">
        <f>ROUNDUP(t_B5n5_P_Fixed[[#This Row],[Fixed]]-$B$3,0)</f>
        <v>1216</v>
      </c>
      <c r="D115" s="11">
        <f>t_B5n5_P[[#This Row],[x]]-E114</f>
        <v>12</v>
      </c>
      <c r="E115" s="1">
        <v>2778</v>
      </c>
      <c r="F115" s="142">
        <v>4</v>
      </c>
      <c r="G115" s="142">
        <v>2</v>
      </c>
      <c r="H115" s="143">
        <v>1</v>
      </c>
      <c r="I115" s="143">
        <v>0</v>
      </c>
      <c r="J115" s="142">
        <v>3</v>
      </c>
      <c r="K115" s="16"/>
      <c r="L115" s="17"/>
    </row>
    <row r="116" spans="1:12" x14ac:dyDescent="0.25">
      <c r="A116" s="139">
        <v>111</v>
      </c>
      <c r="B116" s="1">
        <v>2790</v>
      </c>
      <c r="C116" s="9">
        <f>ROUNDUP(t_B5n5_P_Fixed[[#This Row],[Fixed]]-$B$3,0)</f>
        <v>1228</v>
      </c>
      <c r="D116" s="11">
        <f>t_B5n5_P[[#This Row],[x]]-E115</f>
        <v>12</v>
      </c>
      <c r="E116" s="139">
        <v>2790</v>
      </c>
      <c r="F116" s="41">
        <v>4</v>
      </c>
      <c r="G116" s="41">
        <v>2</v>
      </c>
      <c r="H116" s="40">
        <v>1</v>
      </c>
      <c r="I116" s="40">
        <v>3</v>
      </c>
      <c r="J116" s="41">
        <v>0</v>
      </c>
      <c r="K116" s="16"/>
      <c r="L116" s="17"/>
    </row>
    <row r="117" spans="1:12" x14ac:dyDescent="0.25">
      <c r="A117" s="139">
        <v>112</v>
      </c>
      <c r="B117" s="1">
        <v>2826</v>
      </c>
      <c r="C117" s="9">
        <f>ROUNDUP(t_B5n5_P_Fixed[[#This Row],[Fixed]]-$B$3,0)</f>
        <v>1264</v>
      </c>
      <c r="D117" s="11">
        <f>t_B5n5_P[[#This Row],[x]]-E116</f>
        <v>36</v>
      </c>
      <c r="E117" s="1">
        <v>2826</v>
      </c>
      <c r="F117" s="88">
        <v>4</v>
      </c>
      <c r="G117" s="88">
        <v>2</v>
      </c>
      <c r="H117" s="87">
        <v>3</v>
      </c>
      <c r="I117" s="87">
        <v>0</v>
      </c>
      <c r="J117" s="88">
        <v>1</v>
      </c>
      <c r="K117" s="16"/>
      <c r="L117" s="17"/>
    </row>
    <row r="118" spans="1:12" x14ac:dyDescent="0.25">
      <c r="A118" s="139">
        <v>113</v>
      </c>
      <c r="B118" s="1">
        <v>2830</v>
      </c>
      <c r="C118" s="9">
        <f>ROUNDUP(t_B5n5_P_Fixed[[#This Row],[Fixed]]-$B$3,0)</f>
        <v>1268</v>
      </c>
      <c r="D118" s="11">
        <f>t_B5n5_P[[#This Row],[x]]-E117</f>
        <v>4</v>
      </c>
      <c r="E118" s="1">
        <v>2830</v>
      </c>
      <c r="F118" s="63">
        <v>4</v>
      </c>
      <c r="G118" s="63">
        <v>2</v>
      </c>
      <c r="H118" s="62">
        <v>3</v>
      </c>
      <c r="I118" s="62">
        <v>1</v>
      </c>
      <c r="J118" s="63">
        <v>0</v>
      </c>
      <c r="K118" s="16"/>
      <c r="L118" s="17"/>
    </row>
    <row r="119" spans="1:12" x14ac:dyDescent="0.25">
      <c r="A119" s="139">
        <v>114</v>
      </c>
      <c r="B119" s="1">
        <v>2882</v>
      </c>
      <c r="C119" s="9">
        <f>ROUNDUP(t_B5n5_P_Fixed[[#This Row],[Fixed]]-$B$3,0)</f>
        <v>1320</v>
      </c>
      <c r="D119" s="11">
        <f>t_B5n5_P[[#This Row],[x]]-E118</f>
        <v>52</v>
      </c>
      <c r="E119" s="1">
        <v>2882</v>
      </c>
      <c r="F119" s="43">
        <v>4</v>
      </c>
      <c r="G119" s="43">
        <v>3</v>
      </c>
      <c r="H119" s="42">
        <v>0</v>
      </c>
      <c r="I119" s="42">
        <v>1</v>
      </c>
      <c r="J119" s="43">
        <v>2</v>
      </c>
      <c r="K119" s="16"/>
      <c r="L119" s="17"/>
    </row>
    <row r="120" spans="1:12" x14ac:dyDescent="0.25">
      <c r="A120" s="139">
        <v>115</v>
      </c>
      <c r="B120" s="1">
        <v>2886</v>
      </c>
      <c r="C120" s="9">
        <f>ROUNDUP(t_B5n5_P_Fixed[[#This Row],[Fixed]]-$B$3,0)</f>
        <v>1324</v>
      </c>
      <c r="D120" s="11">
        <f>t_B5n5_P[[#This Row],[x]]-E119</f>
        <v>4</v>
      </c>
      <c r="E120" s="1">
        <v>2886</v>
      </c>
      <c r="F120" s="61">
        <v>4</v>
      </c>
      <c r="G120" s="61">
        <v>3</v>
      </c>
      <c r="H120" s="60">
        <v>0</v>
      </c>
      <c r="I120" s="60">
        <v>2</v>
      </c>
      <c r="J120" s="61">
        <v>1</v>
      </c>
      <c r="K120" s="16"/>
      <c r="L120" s="17"/>
    </row>
    <row r="121" spans="1:12" x14ac:dyDescent="0.25">
      <c r="A121" s="139">
        <v>116</v>
      </c>
      <c r="B121" s="1">
        <v>2902</v>
      </c>
      <c r="C121" s="9">
        <f>ROUNDUP(t_B5n5_P_Fixed[[#This Row],[Fixed]]-$B$3,0)</f>
        <v>1340</v>
      </c>
      <c r="D121" s="11">
        <f>t_B5n5_P[[#This Row],[x]]-E120</f>
        <v>16</v>
      </c>
      <c r="E121" s="139">
        <v>2902</v>
      </c>
      <c r="F121" s="184">
        <v>4</v>
      </c>
      <c r="G121" s="184">
        <v>3</v>
      </c>
      <c r="H121" s="185">
        <v>1</v>
      </c>
      <c r="I121" s="185">
        <v>0</v>
      </c>
      <c r="J121" s="184">
        <v>2</v>
      </c>
      <c r="K121" s="16"/>
      <c r="L121" s="17"/>
    </row>
    <row r="122" spans="1:12" x14ac:dyDescent="0.25">
      <c r="A122" s="139">
        <v>117</v>
      </c>
      <c r="B122" s="1">
        <v>2910</v>
      </c>
      <c r="C122" s="9">
        <f>ROUNDUP(t_B5n5_P_Fixed[[#This Row],[Fixed]]-$B$3,0)</f>
        <v>1348</v>
      </c>
      <c r="D122" s="11">
        <f>t_B5n5_P[[#This Row],[x]]-E121</f>
        <v>8</v>
      </c>
      <c r="E122" s="1">
        <v>2910</v>
      </c>
      <c r="F122" s="39">
        <v>4</v>
      </c>
      <c r="G122" s="39">
        <v>3</v>
      </c>
      <c r="H122" s="38">
        <v>1</v>
      </c>
      <c r="I122" s="38">
        <v>2</v>
      </c>
      <c r="J122" s="39">
        <v>0</v>
      </c>
      <c r="K122" s="16"/>
      <c r="L122" s="17"/>
    </row>
    <row r="123" spans="1:12" x14ac:dyDescent="0.25">
      <c r="A123" s="139">
        <v>118</v>
      </c>
      <c r="B123" s="1">
        <v>2926</v>
      </c>
      <c r="C123" s="9">
        <f>ROUNDUP(t_B5n5_P_Fixed[[#This Row],[Fixed]]-$B$3,0)</f>
        <v>1364</v>
      </c>
      <c r="D123" s="11">
        <f>t_B5n5_P[[#This Row],[x]]-E122</f>
        <v>16</v>
      </c>
      <c r="E123" s="1">
        <v>2926</v>
      </c>
      <c r="F123" s="55">
        <v>4</v>
      </c>
      <c r="G123" s="55">
        <v>3</v>
      </c>
      <c r="H123" s="54">
        <v>2</v>
      </c>
      <c r="I123" s="54">
        <v>0</v>
      </c>
      <c r="J123" s="55">
        <v>1</v>
      </c>
      <c r="K123" s="16"/>
      <c r="L123" s="17"/>
    </row>
    <row r="124" spans="1:12" x14ac:dyDescent="0.25">
      <c r="A124" s="139">
        <v>119</v>
      </c>
      <c r="B124" s="1">
        <v>2930</v>
      </c>
      <c r="C124" s="9">
        <f>ROUNDUP(t_B5n5_P_Fixed[[#This Row],[Fixed]]-$B$3,0)</f>
        <v>1368</v>
      </c>
      <c r="D124" s="11">
        <f>t_B5n5_P[[#This Row],[x]]-E123</f>
        <v>4</v>
      </c>
      <c r="E124" s="1">
        <v>2930</v>
      </c>
      <c r="F124" s="76">
        <v>4</v>
      </c>
      <c r="G124" s="76">
        <v>3</v>
      </c>
      <c r="H124" s="76">
        <v>2</v>
      </c>
      <c r="I124" s="76">
        <v>1</v>
      </c>
      <c r="J124" s="76">
        <v>0</v>
      </c>
      <c r="K124" s="72"/>
      <c r="L124" s="17"/>
    </row>
    <row r="125" spans="1:12" x14ac:dyDescent="0.25">
      <c r="A125" s="17"/>
      <c r="B125" s="197" t="s">
        <v>1</v>
      </c>
      <c r="C125" s="139"/>
      <c r="F125">
        <f>SUBTOTAL(109,t_B5n5_P[b4])</f>
        <v>240</v>
      </c>
      <c r="G125">
        <f>SUBTOTAL(109,t_B5n5_P[b3])</f>
        <v>240</v>
      </c>
      <c r="H125">
        <f>SUBTOTAL(109,t_B5n5_P[b2])</f>
        <v>240</v>
      </c>
      <c r="I125">
        <f>SUBTOTAL(109,t_B5n5_P[b1])</f>
        <v>240</v>
      </c>
      <c r="J125">
        <f>SUBTOTAL(109,t_B5n5_P[b0])</f>
        <v>240</v>
      </c>
    </row>
    <row r="1567" spans="10:10" ht="15.75" thickBot="1" x14ac:dyDescent="0.3">
      <c r="J1567" s="28" t="s">
        <v>0</v>
      </c>
    </row>
  </sheetData>
  <phoneticPr fontId="22" type="noConversion"/>
  <pageMargins left="0.7" right="0.7" top="0.75" bottom="0.75" header="0.3" footer="0.3"/>
  <pageSetup paperSize="9" orientation="portrait" horizontalDpi="1200" verticalDpi="1200" r:id="rId1"/>
  <tableParts count="26">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vt:lpstr>
      <vt:lpstr>B2n2</vt:lpstr>
      <vt:lpstr>B2n3</vt:lpstr>
      <vt:lpstr>B2n4</vt:lpstr>
      <vt:lpstr>B2n5</vt:lpstr>
      <vt:lpstr>B2n6</vt:lpstr>
      <vt:lpstr>B3n2</vt:lpstr>
      <vt:lpstr>B3n3</vt:lpstr>
      <vt:lpstr>B3n4</vt:lpstr>
      <vt:lpstr>B4n2</vt:lpstr>
      <vt:lpstr>B4n3</vt:lpstr>
      <vt:lpstr>B5n2</vt:lpstr>
      <vt:lpstr>B2n2 Per</vt:lpstr>
      <vt:lpstr>B3n3 Per</vt:lpstr>
      <vt:lpstr>B4n4 Per</vt:lpstr>
      <vt:lpstr>B5n5 Per</vt:lpstr>
    </vt:vector>
  </TitlesOfParts>
  <Company>none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dc:creator>
  <cp:lastModifiedBy>Steve</cp:lastModifiedBy>
  <dcterms:created xsi:type="dcterms:W3CDTF">2019-04-12T00:40:14Z</dcterms:created>
  <dcterms:modified xsi:type="dcterms:W3CDTF">2021-10-22T15:03:02Z</dcterms:modified>
</cp:coreProperties>
</file>