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ke\Desktop\"/>
    </mc:Choice>
  </mc:AlternateContent>
  <xr:revisionPtr revIDLastSave="0" documentId="8_{5CD25DD7-901F-4E3E-9325-8EC312AD80B2}" xr6:coauthVersionLast="36" xr6:coauthVersionMax="36" xr10:uidLastSave="{00000000-0000-0000-0000-000000000000}"/>
  <bookViews>
    <workbookView xWindow="0" yWindow="0" windowWidth="23040" windowHeight="8400" xr2:uid="{1B5062F6-64E9-47EE-A3C6-BE58FB2D75B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F501" i="1"/>
  <c r="G500" i="1"/>
  <c r="F500" i="1"/>
  <c r="G499" i="1"/>
  <c r="F499" i="1"/>
  <c r="G498" i="1"/>
  <c r="F498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G471" i="1"/>
  <c r="F471" i="1"/>
  <c r="G470" i="1"/>
  <c r="F470" i="1"/>
  <c r="G469" i="1"/>
  <c r="G468" i="1"/>
  <c r="F468" i="1"/>
  <c r="G467" i="1"/>
  <c r="F467" i="1"/>
  <c r="G466" i="1"/>
  <c r="F466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F413" i="1"/>
  <c r="G412" i="1"/>
  <c r="F412" i="1"/>
  <c r="G411" i="1"/>
  <c r="F411" i="1"/>
  <c r="G410" i="1"/>
  <c r="F410" i="1"/>
  <c r="G409" i="1"/>
  <c r="F409" i="1"/>
  <c r="G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F348" i="1"/>
  <c r="G347" i="1"/>
  <c r="F347" i="1"/>
  <c r="G346" i="1"/>
  <c r="F346" i="1"/>
  <c r="G345" i="1"/>
  <c r="F345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F335" i="1"/>
  <c r="G334" i="1"/>
  <c r="F334" i="1"/>
  <c r="G333" i="1"/>
  <c r="F333" i="1"/>
  <c r="G332" i="1"/>
  <c r="F332" i="1"/>
  <c r="G331" i="1"/>
  <c r="F331" i="1"/>
  <c r="G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F281" i="1"/>
  <c r="G280" i="1"/>
  <c r="F280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G240" i="1"/>
  <c r="F240" i="1"/>
  <c r="G239" i="1"/>
  <c r="F239" i="1"/>
  <c r="G238" i="1"/>
  <c r="F238" i="1"/>
  <c r="G237" i="1"/>
  <c r="F237" i="1"/>
  <c r="G236" i="1"/>
  <c r="G235" i="1"/>
  <c r="F235" i="1"/>
  <c r="G234" i="1"/>
  <c r="F234" i="1"/>
  <c r="G233" i="1"/>
  <c r="F233" i="1"/>
  <c r="G232" i="1"/>
  <c r="F232" i="1"/>
  <c r="G231" i="1"/>
  <c r="F231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F148" i="1"/>
  <c r="G147" i="1"/>
  <c r="F147" i="1"/>
  <c r="G146" i="1"/>
  <c r="F146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F111" i="1"/>
  <c r="G110" i="1"/>
  <c r="F110" i="1"/>
  <c r="G109" i="1"/>
  <c r="F109" i="1"/>
  <c r="G108" i="1"/>
  <c r="F108" i="1"/>
  <c r="G107" i="1"/>
  <c r="G106" i="1"/>
  <c r="F106" i="1"/>
  <c r="G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G86" i="1"/>
  <c r="F86" i="1"/>
  <c r="F85" i="1"/>
  <c r="G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G75" i="1"/>
  <c r="F75" i="1"/>
  <c r="G74" i="1"/>
  <c r="F74" i="1"/>
  <c r="G73" i="1"/>
  <c r="F73" i="1"/>
  <c r="G72" i="1"/>
  <c r="F72" i="1"/>
  <c r="G71" i="1"/>
  <c r="F71" i="1"/>
  <c r="G70" i="1"/>
  <c r="F70" i="1"/>
  <c r="F69" i="1"/>
  <c r="G68" i="1"/>
  <c r="F68" i="1"/>
  <c r="G67" i="1"/>
  <c r="F67" i="1"/>
  <c r="G66" i="1"/>
  <c r="F66" i="1"/>
  <c r="G65" i="1"/>
  <c r="F65" i="1"/>
  <c r="G64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F44" i="1"/>
  <c r="G43" i="1"/>
  <c r="F43" i="1"/>
  <c r="G42" i="1"/>
  <c r="F42" i="1"/>
  <c r="G41" i="1"/>
  <c r="G40" i="1"/>
  <c r="F40" i="1"/>
  <c r="G39" i="1"/>
  <c r="F39" i="1"/>
  <c r="G38" i="1"/>
  <c r="F38" i="1"/>
  <c r="G37" i="1"/>
  <c r="F37" i="1"/>
  <c r="G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G19" i="1"/>
  <c r="F19" i="1"/>
  <c r="G18" i="1"/>
  <c r="F18" i="1"/>
  <c r="G17" i="1"/>
  <c r="F17" i="1"/>
  <c r="F16" i="1"/>
  <c r="F15" i="1"/>
  <c r="G14" i="1"/>
  <c r="F14" i="1"/>
  <c r="G13" i="1"/>
  <c r="F13" i="1"/>
  <c r="G12" i="1"/>
  <c r="F12" i="1"/>
  <c r="F10" i="1"/>
  <c r="G9" i="1"/>
  <c r="F9" i="1"/>
  <c r="G8" i="1"/>
  <c r="F8" i="1"/>
  <c r="G7" i="1"/>
  <c r="F7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<sst xmlns="http://schemas.openxmlformats.org/spreadsheetml/2006/main" count="1064" uniqueCount="968">
  <si>
    <t>word1</t>
  </si>
  <si>
    <t>word2</t>
  </si>
  <si>
    <t>similarity</t>
  </si>
  <si>
    <t>Joule</t>
  </si>
  <si>
    <t>spacecraft</t>
  </si>
  <si>
    <t>Promised Land</t>
  </si>
  <si>
    <t>Baku</t>
  </si>
  <si>
    <t>car</t>
  </si>
  <si>
    <t>bicycle</t>
  </si>
  <si>
    <t>polyhedron</t>
  </si>
  <si>
    <t>actor</t>
  </si>
  <si>
    <t>multiple sclerosis</t>
  </si>
  <si>
    <t>MS</t>
  </si>
  <si>
    <t>fault</t>
  </si>
  <si>
    <t>system</t>
  </si>
  <si>
    <t>weapon</t>
  </si>
  <si>
    <t>helmet</t>
  </si>
  <si>
    <t>screenwriter</t>
  </si>
  <si>
    <t>television</t>
  </si>
  <si>
    <t>United Nations</t>
  </si>
  <si>
    <t>Ban Ki-moon</t>
  </si>
  <si>
    <t>Ban Ki-mun</t>
  </si>
  <si>
    <t>Si-o-seh pol</t>
  </si>
  <si>
    <t>Mathematical Bridge</t>
  </si>
  <si>
    <t>Si-o-se pol</t>
  </si>
  <si>
    <t>matematiksel köprü</t>
  </si>
  <si>
    <t>basilica</t>
  </si>
  <si>
    <t>mosaic</t>
  </si>
  <si>
    <t>watercolor painting</t>
  </si>
  <si>
    <t>brush</t>
  </si>
  <si>
    <t>democracy</t>
  </si>
  <si>
    <t>monarchy</t>
  </si>
  <si>
    <t>Gauss</t>
  </si>
  <si>
    <t>scientist</t>
  </si>
  <si>
    <t>bilim insanı</t>
  </si>
  <si>
    <t>tuberculosis</t>
  </si>
  <si>
    <t>LED</t>
  </si>
  <si>
    <t>neden olmak</t>
  </si>
  <si>
    <t>self-driving car</t>
  </si>
  <si>
    <t>autonomous car</t>
  </si>
  <si>
    <t>apocalypse</t>
  </si>
  <si>
    <t>fire</t>
  </si>
  <si>
    <t>speed</t>
  </si>
  <si>
    <t>post</t>
  </si>
  <si>
    <t>PlayStation</t>
  </si>
  <si>
    <t>Wii</t>
  </si>
  <si>
    <t>laptop</t>
  </si>
  <si>
    <t>notebook</t>
  </si>
  <si>
    <t>Harry Potter</t>
  </si>
  <si>
    <t>wizard</t>
  </si>
  <si>
    <t>snowboard</t>
  </si>
  <si>
    <t>skiing</t>
  </si>
  <si>
    <t>pointer</t>
  </si>
  <si>
    <t>slide</t>
  </si>
  <si>
    <t>sensor</t>
  </si>
  <si>
    <t>radiator</t>
  </si>
  <si>
    <t>hit</t>
  </si>
  <si>
    <t>frame</t>
  </si>
  <si>
    <t>theory</t>
  </si>
  <si>
    <t>hypothesis</t>
  </si>
  <si>
    <t>Wall Street</t>
  </si>
  <si>
    <t>financial market</t>
  </si>
  <si>
    <t>Darwin</t>
  </si>
  <si>
    <t>evolution</t>
  </si>
  <si>
    <t>actress</t>
  </si>
  <si>
    <t>film</t>
  </si>
  <si>
    <t>theatre</t>
  </si>
  <si>
    <t>national anthem</t>
  </si>
  <si>
    <t>patriotism</t>
  </si>
  <si>
    <t>screen</t>
  </si>
  <si>
    <t>monitor</t>
  </si>
  <si>
    <t>dairy</t>
  </si>
  <si>
    <t>honey</t>
  </si>
  <si>
    <t>Mount Everest</t>
  </si>
  <si>
    <t>Chomolungma</t>
  </si>
  <si>
    <t>tug of war</t>
  </si>
  <si>
    <t>Snakes and Ladders</t>
  </si>
  <si>
    <t>halat çekme</t>
  </si>
  <si>
    <t>pesticide</t>
  </si>
  <si>
    <t>pest</t>
  </si>
  <si>
    <t>policeman</t>
  </si>
  <si>
    <t>politician</t>
  </si>
  <si>
    <t>neuropsychology</t>
  </si>
  <si>
    <t>parapsychology</t>
  </si>
  <si>
    <t>battery</t>
  </si>
  <si>
    <t>energy</t>
  </si>
  <si>
    <t>Legion of Honour</t>
  </si>
  <si>
    <t>stationery</t>
  </si>
  <si>
    <t>Onur Nişanı</t>
  </si>
  <si>
    <t>Spider-Man</t>
  </si>
  <si>
    <t>street</t>
  </si>
  <si>
    <t>peninsula</t>
  </si>
  <si>
    <t>island</t>
  </si>
  <si>
    <t>equator</t>
  </si>
  <si>
    <t>Ecuador</t>
  </si>
  <si>
    <t>ekvador cumhuriyeti</t>
  </si>
  <si>
    <t>chart</t>
  </si>
  <si>
    <t>graph</t>
  </si>
  <si>
    <t>simulation</t>
  </si>
  <si>
    <t>robotics</t>
  </si>
  <si>
    <t>Nike</t>
  </si>
  <si>
    <t>Adidas</t>
  </si>
  <si>
    <t>society</t>
  </si>
  <si>
    <t>culture</t>
  </si>
  <si>
    <t>strategy game</t>
  </si>
  <si>
    <t>strategy</t>
  </si>
  <si>
    <t>church</t>
  </si>
  <si>
    <t>cathedral</t>
  </si>
  <si>
    <t>translator</t>
  </si>
  <si>
    <t>foreigner</t>
  </si>
  <si>
    <t>biotope</t>
  </si>
  <si>
    <t>biology</t>
  </si>
  <si>
    <t>magma</t>
  </si>
  <si>
    <t>volcano</t>
  </si>
  <si>
    <t>brainstorming</t>
  </si>
  <si>
    <t>telescope</t>
  </si>
  <si>
    <t>level</t>
  </si>
  <si>
    <t>score</t>
  </si>
  <si>
    <t>skor</t>
  </si>
  <si>
    <t>penny</t>
  </si>
  <si>
    <t>bargain</t>
  </si>
  <si>
    <t>political party</t>
  </si>
  <si>
    <t>association</t>
  </si>
  <si>
    <t>tsunami</t>
  </si>
  <si>
    <t>sea</t>
  </si>
  <si>
    <t>ostrich</t>
  </si>
  <si>
    <t>orchard</t>
  </si>
  <si>
    <t>cinnamon</t>
  </si>
  <si>
    <t>candy</t>
  </si>
  <si>
    <t>broom</t>
  </si>
  <si>
    <t>dust</t>
  </si>
  <si>
    <t>galaxy</t>
  </si>
  <si>
    <t>astronomer</t>
  </si>
  <si>
    <t>juice</t>
  </si>
  <si>
    <t>milkshake</t>
  </si>
  <si>
    <t>window blind</t>
  </si>
  <si>
    <t>curtain</t>
  </si>
  <si>
    <t>panjur</t>
  </si>
  <si>
    <t>criminal</t>
  </si>
  <si>
    <t>offender</t>
  </si>
  <si>
    <t>pancreatic cancer</t>
  </si>
  <si>
    <t>chemotherapy</t>
  </si>
  <si>
    <t>past</t>
  </si>
  <si>
    <t>antecedent</t>
  </si>
  <si>
    <t>European Parliament</t>
  </si>
  <si>
    <t>song</t>
  </si>
  <si>
    <t>performer</t>
  </si>
  <si>
    <t>sanatçı</t>
  </si>
  <si>
    <t>gun</t>
  </si>
  <si>
    <t>acetylcholine</t>
  </si>
  <si>
    <t>iris</t>
  </si>
  <si>
    <t>alphabet</t>
  </si>
  <si>
    <t>pen</t>
  </si>
  <si>
    <t>chorus</t>
  </si>
  <si>
    <t>singer</t>
  </si>
  <si>
    <t>wood</t>
  </si>
  <si>
    <t>blanket</t>
  </si>
  <si>
    <t>soldier</t>
  </si>
  <si>
    <t>peace</t>
  </si>
  <si>
    <t>English</t>
  </si>
  <si>
    <t>American</t>
  </si>
  <si>
    <t>İngiliz</t>
  </si>
  <si>
    <t>lizard</t>
  </si>
  <si>
    <t>crocodile</t>
  </si>
  <si>
    <t>money</t>
  </si>
  <si>
    <t>cash</t>
  </si>
  <si>
    <t>Paul the Octopus</t>
  </si>
  <si>
    <t>octopus</t>
  </si>
  <si>
    <t>calendar</t>
  </si>
  <si>
    <t>holiday</t>
  </si>
  <si>
    <t>base</t>
  </si>
  <si>
    <t>chemical substance</t>
  </si>
  <si>
    <t>government</t>
  </si>
  <si>
    <t>JPY</t>
  </si>
  <si>
    <t>money laundering</t>
  </si>
  <si>
    <t>DeepMind</t>
  </si>
  <si>
    <t>Google DeepMind</t>
  </si>
  <si>
    <t>chess</t>
  </si>
  <si>
    <t>check</t>
  </si>
  <si>
    <t>kontrol</t>
  </si>
  <si>
    <t>sonnet</t>
  </si>
  <si>
    <t>beauty</t>
  </si>
  <si>
    <t>worker</t>
  </si>
  <si>
    <t>office</t>
  </si>
  <si>
    <t>işçi</t>
  </si>
  <si>
    <t>currency</t>
  </si>
  <si>
    <t>exchange</t>
  </si>
  <si>
    <t>polyester</t>
  </si>
  <si>
    <t>cotton</t>
  </si>
  <si>
    <t>tribunal</t>
  </si>
  <si>
    <t>justice</t>
  </si>
  <si>
    <t>tail</t>
  </si>
  <si>
    <t>rear</t>
  </si>
  <si>
    <t>accident</t>
  </si>
  <si>
    <t>book</t>
  </si>
  <si>
    <t>squall</t>
  </si>
  <si>
    <t>wind</t>
  </si>
  <si>
    <t>piano</t>
  </si>
  <si>
    <t>harmony</t>
  </si>
  <si>
    <t>sultan</t>
  </si>
  <si>
    <t>ministry</t>
  </si>
  <si>
    <t>desert</t>
  </si>
  <si>
    <t>dune</t>
  </si>
  <si>
    <t>multiplication</t>
  </si>
  <si>
    <t>division</t>
  </si>
  <si>
    <t>virus</t>
  </si>
  <si>
    <t>blood</t>
  </si>
  <si>
    <t>ice age</t>
  </si>
  <si>
    <t>statute</t>
  </si>
  <si>
    <t>sword</t>
  </si>
  <si>
    <t>environment</t>
  </si>
  <si>
    <t>elementary school</t>
  </si>
  <si>
    <t>cricket</t>
  </si>
  <si>
    <t>supporter</t>
  </si>
  <si>
    <t>sculpture</t>
  </si>
  <si>
    <t>statue</t>
  </si>
  <si>
    <t>web browser</t>
  </si>
  <si>
    <t>Mozilla Firefox</t>
  </si>
  <si>
    <t>Fox Terrier</t>
  </si>
  <si>
    <t>Canon</t>
  </si>
  <si>
    <t>Foksteriyer</t>
  </si>
  <si>
    <t>HSBC</t>
  </si>
  <si>
    <t>Britain</t>
  </si>
  <si>
    <t>Bible</t>
  </si>
  <si>
    <t>Gospel</t>
  </si>
  <si>
    <t>İncil</t>
  </si>
  <si>
    <t>dress</t>
  </si>
  <si>
    <t>dance</t>
  </si>
  <si>
    <t>array</t>
  </si>
  <si>
    <t>list</t>
  </si>
  <si>
    <t>cell</t>
  </si>
  <si>
    <t>lock-up</t>
  </si>
  <si>
    <t>essay</t>
  </si>
  <si>
    <t>homework</t>
  </si>
  <si>
    <t>ödev</t>
  </si>
  <si>
    <t>computer</t>
  </si>
  <si>
    <t>machine</t>
  </si>
  <si>
    <t>panda</t>
  </si>
  <si>
    <t>polar bear</t>
  </si>
  <si>
    <t>neurosis</t>
  </si>
  <si>
    <t>mind</t>
  </si>
  <si>
    <t>campaign</t>
  </si>
  <si>
    <t>monkey</t>
  </si>
  <si>
    <t>Faraday constant</t>
  </si>
  <si>
    <t>rucksack</t>
  </si>
  <si>
    <t>palace</t>
  </si>
  <si>
    <t>skyscraper</t>
  </si>
  <si>
    <t>helicopter</t>
  </si>
  <si>
    <t>plane</t>
  </si>
  <si>
    <t>University of Cambridge</t>
  </si>
  <si>
    <t>Oxford University</t>
  </si>
  <si>
    <t>flag</t>
  </si>
  <si>
    <t>pole</t>
  </si>
  <si>
    <t>window</t>
  </si>
  <si>
    <t>roof</t>
  </si>
  <si>
    <t>card game</t>
  </si>
  <si>
    <t>frisbee</t>
  </si>
  <si>
    <t>malware</t>
  </si>
  <si>
    <t>worm</t>
  </si>
  <si>
    <t>planet</t>
  </si>
  <si>
    <t>star</t>
  </si>
  <si>
    <t>runner</t>
  </si>
  <si>
    <t>athlete</t>
  </si>
  <si>
    <t>caliber</t>
  </si>
  <si>
    <t>umbrella</t>
  </si>
  <si>
    <t>WiFi</t>
  </si>
  <si>
    <t>WikiLeaks</t>
  </si>
  <si>
    <t>drought</t>
  </si>
  <si>
    <t>water</t>
  </si>
  <si>
    <t>airport</t>
  </si>
  <si>
    <t>piece</t>
  </si>
  <si>
    <t>yoyo</t>
  </si>
  <si>
    <t>orchestra</t>
  </si>
  <si>
    <t>band</t>
  </si>
  <si>
    <t>mojito</t>
  </si>
  <si>
    <t>mohito</t>
  </si>
  <si>
    <t>syllabus</t>
  </si>
  <si>
    <t>exam</t>
  </si>
  <si>
    <t>theorem</t>
  </si>
  <si>
    <t>yo-yo</t>
  </si>
  <si>
    <t>toy</t>
  </si>
  <si>
    <t>blizzard</t>
  </si>
  <si>
    <t>rain</t>
  </si>
  <si>
    <t>historian</t>
  </si>
  <si>
    <t>historiographer</t>
  </si>
  <si>
    <t>tarihyazımı</t>
  </si>
  <si>
    <t>Siemens</t>
  </si>
  <si>
    <t>electric train</t>
  </si>
  <si>
    <t>century</t>
  </si>
  <si>
    <t>year</t>
  </si>
  <si>
    <t>alloy</t>
  </si>
  <si>
    <t>steel</t>
  </si>
  <si>
    <t>magistrate</t>
  </si>
  <si>
    <t>judge</t>
  </si>
  <si>
    <t>chaos</t>
  </si>
  <si>
    <t>class</t>
  </si>
  <si>
    <t>distance education</t>
  </si>
  <si>
    <t>internet</t>
  </si>
  <si>
    <t>sand</t>
  </si>
  <si>
    <t>foot</t>
  </si>
  <si>
    <t>IMF</t>
  </si>
  <si>
    <t>Deutsche Bank</t>
  </si>
  <si>
    <t>Guardian</t>
  </si>
  <si>
    <t>Times</t>
  </si>
  <si>
    <t>silkworm</t>
  </si>
  <si>
    <t>Silk Road</t>
  </si>
  <si>
    <t>freedom</t>
  </si>
  <si>
    <t>oasis</t>
  </si>
  <si>
    <t>cytoplasm</t>
  </si>
  <si>
    <t>digit</t>
  </si>
  <si>
    <t>basamak</t>
  </si>
  <si>
    <t>protestant</t>
  </si>
  <si>
    <t>christian</t>
  </si>
  <si>
    <t>Leonardo da Vinci</t>
  </si>
  <si>
    <t>The Last Supper</t>
  </si>
  <si>
    <t>map</t>
  </si>
  <si>
    <t>square</t>
  </si>
  <si>
    <t>parliament</t>
  </si>
  <si>
    <t>congress</t>
  </si>
  <si>
    <t>fundraising</t>
  </si>
  <si>
    <t>development</t>
  </si>
  <si>
    <t>pathology</t>
  </si>
  <si>
    <t>hematology</t>
  </si>
  <si>
    <t>valley</t>
  </si>
  <si>
    <t>depression</t>
  </si>
  <si>
    <t>chair</t>
  </si>
  <si>
    <t>heavy metal</t>
  </si>
  <si>
    <t>stage</t>
  </si>
  <si>
    <t>globalism</t>
  </si>
  <si>
    <t>visa</t>
  </si>
  <si>
    <t>bat</t>
  </si>
  <si>
    <t>vampire</t>
  </si>
  <si>
    <t>deputy</t>
  </si>
  <si>
    <t>officer</t>
  </si>
  <si>
    <t>electricity</t>
  </si>
  <si>
    <t>case</t>
  </si>
  <si>
    <t>alien</t>
  </si>
  <si>
    <t>outlander</t>
  </si>
  <si>
    <t>uzaylı</t>
  </si>
  <si>
    <t>yabancı</t>
  </si>
  <si>
    <t>button</t>
  </si>
  <si>
    <t>sewing machine</t>
  </si>
  <si>
    <t>cable</t>
  </si>
  <si>
    <t>philosopher</t>
  </si>
  <si>
    <t>racing</t>
  </si>
  <si>
    <t>popcorn</t>
  </si>
  <si>
    <t>cinema</t>
  </si>
  <si>
    <t>agriculture</t>
  </si>
  <si>
    <t>plant</t>
  </si>
  <si>
    <t>poet</t>
  </si>
  <si>
    <t>journalist</t>
  </si>
  <si>
    <t>weather</t>
  </si>
  <si>
    <t>wave</t>
  </si>
  <si>
    <t>civilization</t>
  </si>
  <si>
    <t>lifestyle</t>
  </si>
  <si>
    <t>snow</t>
  </si>
  <si>
    <t>ice</t>
  </si>
  <si>
    <t>World War II</t>
  </si>
  <si>
    <t>Beethoven</t>
  </si>
  <si>
    <t>motherboard</t>
  </si>
  <si>
    <t>mainboard</t>
  </si>
  <si>
    <t>anakart</t>
  </si>
  <si>
    <t>club</t>
  </si>
  <si>
    <t>mark</t>
  </si>
  <si>
    <t>Alexander the Great</t>
  </si>
  <si>
    <t>conqueror</t>
  </si>
  <si>
    <t>app</t>
  </si>
  <si>
    <t>cloud computing</t>
  </si>
  <si>
    <t>delta</t>
  </si>
  <si>
    <t>yarn</t>
  </si>
  <si>
    <t>thread</t>
  </si>
  <si>
    <t>iplik</t>
  </si>
  <si>
    <t>pedestrian crossing</t>
  </si>
  <si>
    <t>person</t>
  </si>
  <si>
    <t>protein</t>
  </si>
  <si>
    <t>handle</t>
  </si>
  <si>
    <t>U2</t>
  </si>
  <si>
    <t>Ronaldo</t>
  </si>
  <si>
    <t>Apple</t>
  </si>
  <si>
    <t>iPhone</t>
  </si>
  <si>
    <t>peppermint</t>
  </si>
  <si>
    <t>gum</t>
  </si>
  <si>
    <t>poster</t>
  </si>
  <si>
    <t>paper</t>
  </si>
  <si>
    <t>UNICEF</t>
  </si>
  <si>
    <t>root</t>
  </si>
  <si>
    <t>xenophobia</t>
  </si>
  <si>
    <t>racism</t>
  </si>
  <si>
    <t>Woody Allen</t>
  </si>
  <si>
    <t>lens</t>
  </si>
  <si>
    <t>lamp</t>
  </si>
  <si>
    <t>genie</t>
  </si>
  <si>
    <t>navy</t>
  </si>
  <si>
    <t>wall</t>
  </si>
  <si>
    <t>castle</t>
  </si>
  <si>
    <t>dinosaur</t>
  </si>
  <si>
    <t>elephant</t>
  </si>
  <si>
    <t>clock tower</t>
  </si>
  <si>
    <t>stone</t>
  </si>
  <si>
    <t>Middle East</t>
  </si>
  <si>
    <t>Euphrates</t>
  </si>
  <si>
    <t>meadow</t>
  </si>
  <si>
    <t>grassland</t>
  </si>
  <si>
    <t>guitar</t>
  </si>
  <si>
    <t>violin</t>
  </si>
  <si>
    <t>diplomacy</t>
  </si>
  <si>
    <t>negotiation</t>
  </si>
  <si>
    <t>gravity</t>
  </si>
  <si>
    <t>meteor</t>
  </si>
  <si>
    <t>IQ</t>
  </si>
  <si>
    <t>Mensa</t>
  </si>
  <si>
    <t>Union Jack</t>
  </si>
  <si>
    <t>Birliğin Bayrağı</t>
  </si>
  <si>
    <t>earthquake</t>
  </si>
  <si>
    <t>tremor</t>
  </si>
  <si>
    <t>asset</t>
  </si>
  <si>
    <t>stock</t>
  </si>
  <si>
    <t>Hebrew</t>
  </si>
  <si>
    <t>Jerusalem</t>
  </si>
  <si>
    <t>overcast</t>
  </si>
  <si>
    <t>forecast</t>
  </si>
  <si>
    <t>dictionary</t>
  </si>
  <si>
    <t>encyclopedia</t>
  </si>
  <si>
    <t>mint</t>
  </si>
  <si>
    <t>museum</t>
  </si>
  <si>
    <t>stool</t>
  </si>
  <si>
    <t>tabure</t>
  </si>
  <si>
    <t>Spanish</t>
  </si>
  <si>
    <t>moisture</t>
  </si>
  <si>
    <t>can</t>
  </si>
  <si>
    <t>bottle</t>
  </si>
  <si>
    <t>fly</t>
  </si>
  <si>
    <t>ant</t>
  </si>
  <si>
    <t>myth</t>
  </si>
  <si>
    <t>satire</t>
  </si>
  <si>
    <t>city center</t>
  </si>
  <si>
    <t>bus</t>
  </si>
  <si>
    <t>Boeing 747-200</t>
  </si>
  <si>
    <t>artwork</t>
  </si>
  <si>
    <t>artist</t>
  </si>
  <si>
    <t>NATO</t>
  </si>
  <si>
    <t>alliance</t>
  </si>
  <si>
    <t>king</t>
  </si>
  <si>
    <t>ruler</t>
  </si>
  <si>
    <t>rhythm</t>
  </si>
  <si>
    <t>cadence</t>
  </si>
  <si>
    <t>Alexander Fleming</t>
  </si>
  <si>
    <t>Penicillin</t>
  </si>
  <si>
    <t>flute</t>
  </si>
  <si>
    <t>music</t>
  </si>
  <si>
    <t>gray heron</t>
  </si>
  <si>
    <t>lake</t>
  </si>
  <si>
    <t>viscosity</t>
  </si>
  <si>
    <t>splash</t>
  </si>
  <si>
    <t>hardware</t>
  </si>
  <si>
    <t>ring</t>
  </si>
  <si>
    <t>engagement</t>
  </si>
  <si>
    <t>Latin</t>
  </si>
  <si>
    <t>German</t>
  </si>
  <si>
    <t>working class</t>
  </si>
  <si>
    <t>Shakespeare</t>
  </si>
  <si>
    <t>Dickens</t>
  </si>
  <si>
    <t>paper money</t>
  </si>
  <si>
    <t>priest</t>
  </si>
  <si>
    <t>tool</t>
  </si>
  <si>
    <t>job</t>
  </si>
  <si>
    <t>pygmy hog</t>
  </si>
  <si>
    <t>suidae</t>
  </si>
  <si>
    <t>domuzgiller</t>
  </si>
  <si>
    <t>suffrage</t>
  </si>
  <si>
    <t>exit</t>
  </si>
  <si>
    <t>brightness</t>
  </si>
  <si>
    <t>trout</t>
  </si>
  <si>
    <t>dollar</t>
  </si>
  <si>
    <t>millionaire</t>
  </si>
  <si>
    <t>number</t>
  </si>
  <si>
    <t>gale</t>
  </si>
  <si>
    <t>fırtına</t>
  </si>
  <si>
    <t>Obama</t>
  </si>
  <si>
    <t>Clinton</t>
  </si>
  <si>
    <t>supporting character</t>
  </si>
  <si>
    <t>movie</t>
  </si>
  <si>
    <t>Juventus</t>
  </si>
  <si>
    <t>Bayern Munich</t>
  </si>
  <si>
    <t>climate change</t>
  </si>
  <si>
    <t>precipitation</t>
  </si>
  <si>
    <t>AI</t>
  </si>
  <si>
    <t>yapay zeka</t>
  </si>
  <si>
    <t>masterpiece</t>
  </si>
  <si>
    <t>Mona Lisa</t>
  </si>
  <si>
    <t>crime</t>
  </si>
  <si>
    <t>attack</t>
  </si>
  <si>
    <t>coronation</t>
  </si>
  <si>
    <t>vocalist</t>
  </si>
  <si>
    <t>staff</t>
  </si>
  <si>
    <t>playoff</t>
  </si>
  <si>
    <t>basketball</t>
  </si>
  <si>
    <t>armed forces</t>
  </si>
  <si>
    <t>defence</t>
  </si>
  <si>
    <t>cloud</t>
  </si>
  <si>
    <t>monastery</t>
  </si>
  <si>
    <t>shower</t>
  </si>
  <si>
    <t>mother tongue</t>
  </si>
  <si>
    <t>language</t>
  </si>
  <si>
    <t>harbor</t>
  </si>
  <si>
    <t>wrapper</t>
  </si>
  <si>
    <t>demon</t>
  </si>
  <si>
    <t>angel</t>
  </si>
  <si>
    <t>cryptogram</t>
  </si>
  <si>
    <t>symbol</t>
  </si>
  <si>
    <t>campus</t>
  </si>
  <si>
    <t>university</t>
  </si>
  <si>
    <t>liberty</t>
  </si>
  <si>
    <t>typhoon</t>
  </si>
  <si>
    <t>cyclone</t>
  </si>
  <si>
    <t>handbook</t>
  </si>
  <si>
    <t>guidebook</t>
  </si>
  <si>
    <t>Ebola</t>
  </si>
  <si>
    <t>Ebola virus</t>
  </si>
  <si>
    <t>princess</t>
  </si>
  <si>
    <t>biscuit</t>
  </si>
  <si>
    <t>train</t>
  </si>
  <si>
    <t>tram</t>
  </si>
  <si>
    <t>ecosystem</t>
  </si>
  <si>
    <t>economy</t>
  </si>
  <si>
    <t>queen regnant</t>
  </si>
  <si>
    <t>chess queen</t>
  </si>
  <si>
    <t>Kraliçe</t>
  </si>
  <si>
    <t>gold</t>
  </si>
  <si>
    <t>zinc</t>
  </si>
  <si>
    <t>cursor</t>
  </si>
  <si>
    <t>chips</t>
  </si>
  <si>
    <t>Amazon</t>
  </si>
  <si>
    <t>forest</t>
  </si>
  <si>
    <t>tennis</t>
  </si>
  <si>
    <t>statistics</t>
  </si>
  <si>
    <t>Bolzano</t>
  </si>
  <si>
    <t>altitude</t>
  </si>
  <si>
    <t>conversion</t>
  </si>
  <si>
    <t>boat</t>
  </si>
  <si>
    <t>tree</t>
  </si>
  <si>
    <t>throne</t>
  </si>
  <si>
    <t>sweater</t>
  </si>
  <si>
    <t>cherry</t>
  </si>
  <si>
    <t>strawberry</t>
  </si>
  <si>
    <t>Islam</t>
  </si>
  <si>
    <t>Quran</t>
  </si>
  <si>
    <t>Neanderthal</t>
  </si>
  <si>
    <t>sport</t>
  </si>
  <si>
    <t>nepotism</t>
  </si>
  <si>
    <t>character</t>
  </si>
  <si>
    <t>tank</t>
  </si>
  <si>
    <t>Mercury</t>
  </si>
  <si>
    <t>Jupiter</t>
  </si>
  <si>
    <t>bronchitis</t>
  </si>
  <si>
    <t>acetaminophen</t>
  </si>
  <si>
    <t>parasetamol</t>
  </si>
  <si>
    <t>body</t>
  </si>
  <si>
    <t>islamophobia</t>
  </si>
  <si>
    <t>ISIS</t>
  </si>
  <si>
    <t>ışid</t>
  </si>
  <si>
    <t>crochet</t>
  </si>
  <si>
    <t>uniform</t>
  </si>
  <si>
    <t>Hadoop</t>
  </si>
  <si>
    <t>touchscreen</t>
  </si>
  <si>
    <t>fossil fuel</t>
  </si>
  <si>
    <t>fossil</t>
  </si>
  <si>
    <t>mutant</t>
  </si>
  <si>
    <t>sociobiology</t>
  </si>
  <si>
    <t>sister</t>
  </si>
  <si>
    <t>brother</t>
  </si>
  <si>
    <t>pencil</t>
  </si>
  <si>
    <t>story</t>
  </si>
  <si>
    <t>eczema</t>
  </si>
  <si>
    <t>dermatitis</t>
  </si>
  <si>
    <t>emperor</t>
  </si>
  <si>
    <t>governor</t>
  </si>
  <si>
    <t>crown</t>
  </si>
  <si>
    <t>key</t>
  </si>
  <si>
    <t>algebra</t>
  </si>
  <si>
    <t>operation</t>
  </si>
  <si>
    <t>piston</t>
  </si>
  <si>
    <t>engine</t>
  </si>
  <si>
    <t>scholarship</t>
  </si>
  <si>
    <t>tuition</t>
  </si>
  <si>
    <t>manuscript</t>
  </si>
  <si>
    <t>lantana</t>
  </si>
  <si>
    <t>snapdragon</t>
  </si>
  <si>
    <t>black hole</t>
  </si>
  <si>
    <t>vacuum</t>
  </si>
  <si>
    <t>Persian Empire</t>
  </si>
  <si>
    <t>Cyrus</t>
  </si>
  <si>
    <t>editorial</t>
  </si>
  <si>
    <t>news</t>
  </si>
  <si>
    <t>decoration</t>
  </si>
  <si>
    <t>envelope</t>
  </si>
  <si>
    <t>whale shark</t>
  </si>
  <si>
    <t>lobster</t>
  </si>
  <si>
    <t>corn</t>
  </si>
  <si>
    <t>maize</t>
  </si>
  <si>
    <t>bipolar disorder</t>
  </si>
  <si>
    <t>problem</t>
  </si>
  <si>
    <t>bipolar</t>
  </si>
  <si>
    <t>acid</t>
  </si>
  <si>
    <t>absolute zero</t>
  </si>
  <si>
    <t>vapor</t>
  </si>
  <si>
    <t>Green Revolution</t>
  </si>
  <si>
    <t>paint</t>
  </si>
  <si>
    <t>operating system</t>
  </si>
  <si>
    <t>deep learning</t>
  </si>
  <si>
    <t>International Mathematical Olympiad</t>
  </si>
  <si>
    <t>El Niño</t>
  </si>
  <si>
    <t>badge</t>
  </si>
  <si>
    <t>glass</t>
  </si>
  <si>
    <t>mansion</t>
  </si>
  <si>
    <t>sculptor</t>
  </si>
  <si>
    <t>atmosphere</t>
  </si>
  <si>
    <t>ozone</t>
  </si>
  <si>
    <t>shield</t>
  </si>
  <si>
    <t>buckler</t>
  </si>
  <si>
    <t>coin</t>
  </si>
  <si>
    <t>payment</t>
  </si>
  <si>
    <t>oat</t>
  </si>
  <si>
    <t>field</t>
  </si>
  <si>
    <t>monk</t>
  </si>
  <si>
    <t>cross</t>
  </si>
  <si>
    <t>gunboat</t>
  </si>
  <si>
    <t>coast</t>
  </si>
  <si>
    <t>rock</t>
  </si>
  <si>
    <t>mine</t>
  </si>
  <si>
    <t>kaya</t>
  </si>
  <si>
    <t>maden</t>
  </si>
  <si>
    <t>legend</t>
  </si>
  <si>
    <t>moral</t>
  </si>
  <si>
    <t>champion</t>
  </si>
  <si>
    <t>winner</t>
  </si>
  <si>
    <t>dice</t>
  </si>
  <si>
    <t>cube</t>
  </si>
  <si>
    <t>topology</t>
  </si>
  <si>
    <t>structure</t>
  </si>
  <si>
    <t>chapel</t>
  </si>
  <si>
    <t>cash flow</t>
  </si>
  <si>
    <t>river</t>
  </si>
  <si>
    <t>serial killer</t>
  </si>
  <si>
    <t>murderer</t>
  </si>
  <si>
    <t>matrix</t>
  </si>
  <si>
    <t>molecule</t>
  </si>
  <si>
    <t>fashion</t>
  </si>
  <si>
    <t>style</t>
  </si>
  <si>
    <t>vexillology</t>
  </si>
  <si>
    <t>Maastricht Treaty</t>
  </si>
  <si>
    <t>Europe</t>
  </si>
  <si>
    <t>geyser</t>
  </si>
  <si>
    <t>spring</t>
  </si>
  <si>
    <t>sucrose</t>
  </si>
  <si>
    <t>carbohydrate</t>
  </si>
  <si>
    <t>sakkaroz</t>
  </si>
  <si>
    <t>beach</t>
  </si>
  <si>
    <t>stock market</t>
  </si>
  <si>
    <t>stock exchange</t>
  </si>
  <si>
    <t>tradition</t>
  </si>
  <si>
    <t>handicraft</t>
  </si>
  <si>
    <t>novel</t>
  </si>
  <si>
    <t>writer</t>
  </si>
  <si>
    <t>sandwich</t>
  </si>
  <si>
    <t>Subway</t>
  </si>
  <si>
    <t>acoustics</t>
  </si>
  <si>
    <t>sound</t>
  </si>
  <si>
    <t>fencing</t>
  </si>
  <si>
    <t>gymnastics</t>
  </si>
  <si>
    <t>gift</t>
  </si>
  <si>
    <t>woodland</t>
  </si>
  <si>
    <t>Tiger Woods</t>
  </si>
  <si>
    <t>JPEG</t>
  </si>
  <si>
    <t>PDF</t>
  </si>
  <si>
    <t>director</t>
  </si>
  <si>
    <t>boss</t>
  </si>
  <si>
    <t>tax</t>
  </si>
  <si>
    <t>Brexit</t>
  </si>
  <si>
    <t>pollination</t>
  </si>
  <si>
    <t>stamen</t>
  </si>
  <si>
    <t>erkekorgan</t>
  </si>
  <si>
    <t>videogame</t>
  </si>
  <si>
    <t>pc game</t>
  </si>
  <si>
    <t>treatment</t>
  </si>
  <si>
    <t>surgical operation</t>
  </si>
  <si>
    <t>paddy</t>
  </si>
  <si>
    <t>potato</t>
  </si>
  <si>
    <t>note-taking</t>
  </si>
  <si>
    <t>assignment</t>
  </si>
  <si>
    <t>fox</t>
  </si>
  <si>
    <t>blood cell</t>
  </si>
  <si>
    <t>sodium chloride</t>
  </si>
  <si>
    <t>salt</t>
  </si>
  <si>
    <t>income</t>
  </si>
  <si>
    <t>quality of life</t>
  </si>
  <si>
    <t>will</t>
  </si>
  <si>
    <t>intention</t>
  </si>
  <si>
    <t>compass</t>
  </si>
  <si>
    <t>sequel</t>
  </si>
  <si>
    <t>camera</t>
  </si>
  <si>
    <t>sergeant</t>
  </si>
  <si>
    <t>mill</t>
  </si>
  <si>
    <t>seed</t>
  </si>
  <si>
    <t>ice cream</t>
  </si>
  <si>
    <t>breakfast</t>
  </si>
  <si>
    <t>lock</t>
  </si>
  <si>
    <t>cellphone</t>
  </si>
  <si>
    <t>telephone</t>
  </si>
  <si>
    <t>kindergarten</t>
  </si>
  <si>
    <t>preschool</t>
  </si>
  <si>
    <t>Western world</t>
  </si>
  <si>
    <t>Western Union</t>
  </si>
  <si>
    <t>seedling</t>
  </si>
  <si>
    <t>leaf</t>
  </si>
  <si>
    <t>hail</t>
  </si>
  <si>
    <t>happiness</t>
  </si>
  <si>
    <t>sadness</t>
  </si>
  <si>
    <t>caterpillar</t>
  </si>
  <si>
    <t>surfing</t>
  </si>
  <si>
    <t>water sport</t>
  </si>
  <si>
    <t>truck</t>
  </si>
  <si>
    <t>food</t>
  </si>
  <si>
    <t>program</t>
  </si>
  <si>
    <t>graphic novel</t>
  </si>
  <si>
    <t>comic book</t>
  </si>
  <si>
    <t>snake</t>
  </si>
  <si>
    <t>pineapple</t>
  </si>
  <si>
    <t>smartphone</t>
  </si>
  <si>
    <t>wallpaper</t>
  </si>
  <si>
    <t>background</t>
  </si>
  <si>
    <t>Celsius</t>
  </si>
  <si>
    <t>Microsoft</t>
  </si>
  <si>
    <t>combine</t>
  </si>
  <si>
    <t>sugarcane</t>
  </si>
  <si>
    <t>jeans</t>
  </si>
  <si>
    <t>woman</t>
  </si>
  <si>
    <t>vector</t>
  </si>
  <si>
    <t>carbon dioxide</t>
  </si>
  <si>
    <t>CO2</t>
  </si>
  <si>
    <t>coach</t>
  </si>
  <si>
    <t>player</t>
  </si>
  <si>
    <t>charger</t>
  </si>
  <si>
    <t>disk</t>
  </si>
  <si>
    <t>article</t>
  </si>
  <si>
    <t>makale</t>
  </si>
  <si>
    <t>Gmail</t>
  </si>
  <si>
    <t>Yahoo</t>
  </si>
  <si>
    <t>capacitor</t>
  </si>
  <si>
    <t>diode</t>
  </si>
  <si>
    <t>corruption</t>
  </si>
  <si>
    <t>fraud</t>
  </si>
  <si>
    <t>Coca-Cola</t>
  </si>
  <si>
    <t>Coke</t>
  </si>
  <si>
    <t>Plato</t>
  </si>
  <si>
    <t>Aristotle</t>
  </si>
  <si>
    <t>Cold War</t>
  </si>
  <si>
    <t>Soviet Union</t>
  </si>
  <si>
    <t>nozzle</t>
  </si>
  <si>
    <t>fluid</t>
  </si>
  <si>
    <t>phonology</t>
  </si>
  <si>
    <t>Zara</t>
  </si>
  <si>
    <t>leggings</t>
  </si>
  <si>
    <t>football</t>
  </si>
  <si>
    <t>soccer</t>
  </si>
  <si>
    <t>germ</t>
  </si>
  <si>
    <t>pathogen</t>
  </si>
  <si>
    <t>republic</t>
  </si>
  <si>
    <t>duke</t>
  </si>
  <si>
    <t>ball</t>
  </si>
  <si>
    <t>sphere</t>
  </si>
  <si>
    <t>Mozart</t>
  </si>
  <si>
    <t>Star Wars</t>
  </si>
  <si>
    <t>mask</t>
  </si>
  <si>
    <t>party</t>
  </si>
  <si>
    <t>Grand Theft Auto</t>
  </si>
  <si>
    <t>GTA</t>
  </si>
  <si>
    <t>highway</t>
  </si>
  <si>
    <t>road</t>
  </si>
  <si>
    <t>chain reaction</t>
  </si>
  <si>
    <t>thermodynamics</t>
  </si>
  <si>
    <t>illustration</t>
  </si>
  <si>
    <t>blister</t>
  </si>
  <si>
    <t>anthropology</t>
  </si>
  <si>
    <t>archaeology</t>
  </si>
  <si>
    <t>Dell</t>
  </si>
  <si>
    <t>Dingle</t>
  </si>
  <si>
    <t>spoon</t>
  </si>
  <si>
    <t>Pfizer</t>
  </si>
  <si>
    <t>drug</t>
  </si>
  <si>
    <t>parcel</t>
  </si>
  <si>
    <t>receptor</t>
  </si>
  <si>
    <t>protein molecule</t>
  </si>
  <si>
    <t>Google Drive</t>
  </si>
  <si>
    <t>driver</t>
  </si>
  <si>
    <t>billionaire</t>
  </si>
  <si>
    <t>homeless</t>
  </si>
  <si>
    <t>episode</t>
  </si>
  <si>
    <t>chapter</t>
  </si>
  <si>
    <t>infinity</t>
  </si>
  <si>
    <t>zero</t>
  </si>
  <si>
    <t>servant</t>
  </si>
  <si>
    <t>slave</t>
  </si>
  <si>
    <t>suffix</t>
  </si>
  <si>
    <t>affix</t>
  </si>
  <si>
    <t>önek</t>
  </si>
  <si>
    <t>global warming</t>
  </si>
  <si>
    <t>heat</t>
  </si>
  <si>
    <t>growth hormone</t>
  </si>
  <si>
    <t>somatotropin</t>
  </si>
  <si>
    <t>sky</t>
  </si>
  <si>
    <t>dream</t>
  </si>
  <si>
    <t>bid price</t>
  </si>
  <si>
    <t>London</t>
  </si>
  <si>
    <t>fertilizer</t>
  </si>
  <si>
    <t>growth</t>
  </si>
  <si>
    <t>hashtag</t>
  </si>
  <si>
    <t>topic</t>
  </si>
  <si>
    <t>Orion</t>
  </si>
  <si>
    <t>constellation</t>
  </si>
  <si>
    <t>Nietzsche</t>
  </si>
  <si>
    <t>Chelsea</t>
  </si>
  <si>
    <t>mutual respect</t>
  </si>
  <si>
    <t>competition</t>
  </si>
  <si>
    <t>branch</t>
  </si>
  <si>
    <t>arm</t>
  </si>
  <si>
    <t>victim</t>
  </si>
  <si>
    <t>phone</t>
  </si>
  <si>
    <t>standard deviation</t>
  </si>
  <si>
    <t>accumulation</t>
  </si>
  <si>
    <t>avalanche</t>
  </si>
  <si>
    <t>teacher</t>
  </si>
  <si>
    <t>student</t>
  </si>
  <si>
    <t>cattle</t>
  </si>
  <si>
    <t>yogurt</t>
  </si>
  <si>
    <t>sexism</t>
  </si>
  <si>
    <t>gender discrimination</t>
  </si>
  <si>
    <t>South Pole</t>
  </si>
  <si>
    <t>prosecutor</t>
  </si>
  <si>
    <t>lawyer</t>
  </si>
  <si>
    <t>racket</t>
  </si>
  <si>
    <t>bank loan</t>
  </si>
  <si>
    <t>debt</t>
  </si>
  <si>
    <t>perspective</t>
  </si>
  <si>
    <t>distance</t>
  </si>
  <si>
    <t>Federer</t>
  </si>
  <si>
    <t>Dylan</t>
  </si>
  <si>
    <t>gallery</t>
  </si>
  <si>
    <t>life expectancy</t>
  </si>
  <si>
    <t>statistical measure</t>
  </si>
  <si>
    <t>cell membrane</t>
  </si>
  <si>
    <t>provirus</t>
  </si>
  <si>
    <t>European Union</t>
  </si>
  <si>
    <t>Moscow</t>
  </si>
  <si>
    <t>world</t>
  </si>
  <si>
    <t>Asia</t>
  </si>
  <si>
    <t>Paint</t>
  </si>
  <si>
    <t>Photoshop</t>
  </si>
  <si>
    <t>senate</t>
  </si>
  <si>
    <t>constitution</t>
  </si>
  <si>
    <t>parsley</t>
  </si>
  <si>
    <t>muffin</t>
  </si>
  <si>
    <t>brain</t>
  </si>
  <si>
    <t>Mercedes</t>
  </si>
  <si>
    <t>Opel</t>
  </si>
  <si>
    <t>hammer</t>
  </si>
  <si>
    <t>teeth</t>
  </si>
  <si>
    <t>Renaissance</t>
  </si>
  <si>
    <t>Renascence</t>
  </si>
  <si>
    <t>rönesans</t>
  </si>
  <si>
    <t>skirt</t>
  </si>
  <si>
    <t>watch</t>
  </si>
  <si>
    <t>opera</t>
  </si>
  <si>
    <t>instructor</t>
  </si>
  <si>
    <t>Sun</t>
  </si>
  <si>
    <t>recession</t>
  </si>
  <si>
    <t>GDP</t>
  </si>
  <si>
    <t>Caesar</t>
  </si>
  <si>
    <t>Julius Caesar</t>
  </si>
  <si>
    <t>patient</t>
  </si>
  <si>
    <t>session</t>
  </si>
  <si>
    <t>behaviourism</t>
  </si>
  <si>
    <t>therapy</t>
  </si>
  <si>
    <t>mathematician</t>
  </si>
  <si>
    <t>show</t>
  </si>
  <si>
    <t>entropy</t>
  </si>
  <si>
    <t>information</t>
  </si>
  <si>
    <t>rosewater</t>
  </si>
  <si>
    <t>rose oil</t>
  </si>
  <si>
    <t>citrus fruit</t>
  </si>
  <si>
    <t>grapefruit</t>
  </si>
  <si>
    <t>Queen Victoria</t>
  </si>
  <si>
    <t>England</t>
  </si>
  <si>
    <t>Olympic Games</t>
  </si>
  <si>
    <t>spirit</t>
  </si>
  <si>
    <t>bishop</t>
  </si>
  <si>
    <t>muslim</t>
  </si>
  <si>
    <t>man</t>
  </si>
  <si>
    <t>suspect</t>
  </si>
  <si>
    <t>meteorite</t>
  </si>
  <si>
    <t>Earth</t>
  </si>
  <si>
    <t>dünya</t>
  </si>
  <si>
    <t>sign</t>
  </si>
  <si>
    <t>New York</t>
  </si>
  <si>
    <t>sunset</t>
  </si>
  <si>
    <t>table</t>
  </si>
  <si>
    <t>town</t>
  </si>
  <si>
    <t>city</t>
  </si>
  <si>
    <t>kasaba</t>
  </si>
  <si>
    <t>jacket</t>
  </si>
  <si>
    <t>mineral water</t>
  </si>
  <si>
    <t>nature</t>
  </si>
  <si>
    <t>flora</t>
  </si>
  <si>
    <t>subroutine</t>
  </si>
  <si>
    <t>compiler</t>
  </si>
  <si>
    <t>altprogram</t>
  </si>
  <si>
    <t>Hamadan</t>
  </si>
  <si>
    <t>Rome</t>
  </si>
  <si>
    <t>heater</t>
  </si>
  <si>
    <t>honor</t>
  </si>
  <si>
    <t>esteem</t>
  </si>
  <si>
    <t>insignia</t>
  </si>
  <si>
    <t>dignity</t>
  </si>
  <si>
    <t>KFC</t>
  </si>
  <si>
    <t>McDonald's</t>
  </si>
  <si>
    <t>joystick</t>
  </si>
  <si>
    <t>radar</t>
  </si>
  <si>
    <t>basmati</t>
  </si>
  <si>
    <t>jasmine rice</t>
  </si>
  <si>
    <t>medal</t>
  </si>
  <si>
    <t>trainers</t>
  </si>
  <si>
    <t>law</t>
  </si>
  <si>
    <t>swimming pool</t>
  </si>
  <si>
    <t>havuz</t>
  </si>
  <si>
    <t>source</t>
  </si>
  <si>
    <t>box</t>
  </si>
  <si>
    <t>shirt</t>
  </si>
  <si>
    <t>cardigan</t>
  </si>
  <si>
    <t>poem</t>
  </si>
  <si>
    <t>prophet</t>
  </si>
  <si>
    <t>Oscars</t>
  </si>
  <si>
    <t>stadium</t>
  </si>
  <si>
    <t>backgammon</t>
  </si>
  <si>
    <t>Go</t>
  </si>
  <si>
    <t>go</t>
  </si>
  <si>
    <t>butterfly</t>
  </si>
  <si>
    <t>rose</t>
  </si>
  <si>
    <t>fence</t>
  </si>
  <si>
    <t>jumping</t>
  </si>
  <si>
    <t>nihilism</t>
  </si>
  <si>
    <t>asteroid</t>
  </si>
  <si>
    <t>riot</t>
  </si>
  <si>
    <t>drawing</t>
  </si>
  <si>
    <t>underwear</t>
  </si>
  <si>
    <t>Boeing</t>
  </si>
  <si>
    <t>cameo</t>
  </si>
  <si>
    <t>performance</t>
  </si>
  <si>
    <t>küçük rol</t>
  </si>
  <si>
    <t xml:space="preserve">oynanma </t>
  </si>
  <si>
    <t>semester</t>
  </si>
  <si>
    <t>term</t>
  </si>
  <si>
    <t>orange</t>
  </si>
  <si>
    <t>citrus</t>
  </si>
  <si>
    <t>glacier</t>
  </si>
  <si>
    <t>tunnel</t>
  </si>
  <si>
    <t>path</t>
  </si>
  <si>
    <t>word1_translated</t>
  </si>
  <si>
    <t>word2_translated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</si>
</sst>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1F5FF"/>
        <bgColor rgb="FFE1F5FF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39EF-A45D-4F18-9615-B48D5A66D3C8}">
  <dimension ref="A1:H501"/>
  <sheetViews>
    <sheetView tabSelected="1" topLeftCell="A396" workbookViewId="0">
      <selection activeCell="K291" sqref="K291"/>
    </sheetView>
  </sheetViews>
  <sheetFormatPr defaultRowHeight="14.4" x14ac:dyDescent="0.3"/>
  <cols>
    <col min="6" max="6" width="28" bestFit="1" customWidth="1"/>
    <col min="7" max="7" width="18.88671875" bestFit="1" customWidth="1"/>
  </cols>
  <sheetData>
    <row r="1" spans="1:8" x14ac:dyDescent="0.3">
      <c r="A1" s="1"/>
      <c r="B1" s="2" t="s">
        <v>0</v>
      </c>
      <c r="C1" s="2" t="s">
        <v>1</v>
      </c>
      <c r="D1" s="2" t="s">
        <v>2</v>
      </c>
      <c r="E1" s="3"/>
      <c r="F1" s="4" t="s">
        <v>966</v>
      </c>
      <c r="G1" s="4" t="s">
        <v>967</v>
      </c>
      <c r="H1" s="4" t="s">
        <v>2</v>
      </c>
    </row>
    <row r="2" spans="1:8" x14ac:dyDescent="0.3">
      <c r="A2" s="2">
        <v>0</v>
      </c>
      <c r="B2" s="2" t="s">
        <v>3</v>
      </c>
      <c r="C2" s="2" t="s">
        <v>4</v>
      </c>
      <c r="D2" s="2">
        <v>0.57999999999999996</v>
      </c>
      <c r="E2" s="4">
        <v>0</v>
      </c>
      <c r="F2" s="4" t="str">
        <f ca="1">IFERROR(__xludf.DUMMYFUNCTION("GOOGLETRANSLATE($B2, ""en"",""tr"")"),"Joule")</f>
        <v>Joule</v>
      </c>
      <c r="G2" s="4" t="str">
        <f ca="1">IFERROR(__xludf.DUMMYFUNCTION("TO_TEXT(GOOGLETRANSLATE($C2, ""en"",""tr""))"),"uzay aracı")</f>
        <v>uzay aracı</v>
      </c>
      <c r="H2" s="4">
        <v>0.57999999999999996</v>
      </c>
    </row>
    <row r="3" spans="1:8" x14ac:dyDescent="0.3">
      <c r="A3" s="2">
        <v>1</v>
      </c>
      <c r="B3" s="2" t="s">
        <v>5</v>
      </c>
      <c r="C3" s="2" t="s">
        <v>6</v>
      </c>
      <c r="D3" s="2">
        <v>0.42</v>
      </c>
      <c r="E3" s="4">
        <v>1</v>
      </c>
      <c r="F3" s="4" t="str">
        <f ca="1">IFERROR(__xludf.DUMMYFUNCTION("GOOGLETRANSLATE($B3, ""en"",""tr"")"),"Vaat edilmiş topraklar")</f>
        <v>Vaat edilmiş topraklar</v>
      </c>
      <c r="G3" s="4" t="str">
        <f ca="1">IFERROR(__xludf.DUMMYFUNCTION("GOOGLETRANSLATE($C3, ""en"",""tr"")"),"Bakü")</f>
        <v>Bakü</v>
      </c>
      <c r="H3" s="4">
        <v>0.42</v>
      </c>
    </row>
    <row r="4" spans="1:8" x14ac:dyDescent="0.3">
      <c r="A4" s="2">
        <v>2</v>
      </c>
      <c r="B4" s="2" t="s">
        <v>7</v>
      </c>
      <c r="C4" s="2" t="s">
        <v>8</v>
      </c>
      <c r="D4" s="2">
        <v>2.83</v>
      </c>
      <c r="E4" s="4">
        <v>2</v>
      </c>
      <c r="F4" s="4" t="str">
        <f ca="1">IFERROR(__xludf.DUMMYFUNCTION("GOOGLETRANSLATE($B4, ""en"",""tr"")"),"araba")</f>
        <v>araba</v>
      </c>
      <c r="G4" s="4" t="str">
        <f ca="1">IFERROR(__xludf.DUMMYFUNCTION("GOOGLETRANSLATE($C4, ""en"",""tr"")"),"bisiklet")</f>
        <v>bisiklet</v>
      </c>
      <c r="H4" s="4">
        <v>2.83</v>
      </c>
    </row>
    <row r="5" spans="1:8" x14ac:dyDescent="0.3">
      <c r="A5" s="2">
        <v>3</v>
      </c>
      <c r="B5" s="2" t="s">
        <v>9</v>
      </c>
      <c r="C5" s="2" t="s">
        <v>10</v>
      </c>
      <c r="D5" s="2">
        <v>0</v>
      </c>
      <c r="E5" s="4">
        <v>3</v>
      </c>
      <c r="F5" s="4" t="str">
        <f ca="1">IFERROR(__xludf.DUMMYFUNCTION("GOOGLETRANSLATE($B5, ""en"",""tr"")"),"çok yüzlü")</f>
        <v>çok yüzlü</v>
      </c>
      <c r="G5" s="4" t="str">
        <f ca="1">IFERROR(__xludf.DUMMYFUNCTION("GOOGLETRANSLATE($C5, ""en"",""tr"")"),"aktör")</f>
        <v>aktör</v>
      </c>
      <c r="H5" s="4">
        <v>0</v>
      </c>
    </row>
    <row r="6" spans="1:8" x14ac:dyDescent="0.3">
      <c r="A6" s="2">
        <v>4</v>
      </c>
      <c r="B6" s="2" t="s">
        <v>11</v>
      </c>
      <c r="C6" s="2" t="s">
        <v>12</v>
      </c>
      <c r="D6" s="2">
        <v>3.92</v>
      </c>
      <c r="E6" s="4">
        <v>4</v>
      </c>
      <c r="F6" s="4" t="str">
        <f ca="1">IFERROR(__xludf.DUMMYFUNCTION("GOOGLETRANSLATE($B6, ""en"",""tr"")"),"multipl skleroz")</f>
        <v>multipl skleroz</v>
      </c>
      <c r="G6" s="5" t="s">
        <v>12</v>
      </c>
      <c r="H6" s="4">
        <v>3.92</v>
      </c>
    </row>
    <row r="7" spans="1:8" x14ac:dyDescent="0.3">
      <c r="A7" s="2">
        <v>5</v>
      </c>
      <c r="B7" s="2" t="s">
        <v>13</v>
      </c>
      <c r="C7" s="2" t="s">
        <v>14</v>
      </c>
      <c r="D7" s="2">
        <v>0.57999999999999996</v>
      </c>
      <c r="E7" s="4">
        <v>5</v>
      </c>
      <c r="F7" s="4" t="str">
        <f ca="1">IFERROR(__xludf.DUMMYFUNCTION("GOOGLETRANSLATE($B7, ""en"",""tr"")"),"arıza")</f>
        <v>arıza</v>
      </c>
      <c r="G7" s="4" t="str">
        <f ca="1">IFERROR(__xludf.DUMMYFUNCTION("GOOGLETRANSLATE($C7, ""en"",""tr"")"),"sistem")</f>
        <v>sistem</v>
      </c>
      <c r="H7" s="4">
        <v>0.57999999999999996</v>
      </c>
    </row>
    <row r="8" spans="1:8" x14ac:dyDescent="0.3">
      <c r="A8" s="2">
        <v>6</v>
      </c>
      <c r="B8" s="2" t="s">
        <v>15</v>
      </c>
      <c r="C8" s="2" t="s">
        <v>16</v>
      </c>
      <c r="D8" s="2">
        <v>1.83</v>
      </c>
      <c r="E8" s="4">
        <v>6</v>
      </c>
      <c r="F8" s="4" t="str">
        <f ca="1">IFERROR(__xludf.DUMMYFUNCTION("GOOGLETRANSLATE($B8, ""en"",""tr"")"),"silah")</f>
        <v>silah</v>
      </c>
      <c r="G8" s="4" t="str">
        <f ca="1">IFERROR(__xludf.DUMMYFUNCTION("GOOGLETRANSLATE($C8, ""en"",""tr"")"),"kask")</f>
        <v>kask</v>
      </c>
      <c r="H8" s="4">
        <v>1.83</v>
      </c>
    </row>
    <row r="9" spans="1:8" x14ac:dyDescent="0.3">
      <c r="A9" s="2">
        <v>7</v>
      </c>
      <c r="B9" s="2" t="s">
        <v>17</v>
      </c>
      <c r="C9" s="2" t="s">
        <v>18</v>
      </c>
      <c r="D9" s="2">
        <v>1.67</v>
      </c>
      <c r="E9" s="4">
        <v>7</v>
      </c>
      <c r="F9" s="4" t="str">
        <f ca="1">IFERROR(__xludf.DUMMYFUNCTION("GOOGLETRANSLATE($B9, ""en"",""tr"")"),"senaryo yazarı")</f>
        <v>senaryo yazarı</v>
      </c>
      <c r="G9" s="4" t="str">
        <f ca="1">IFERROR(__xludf.DUMMYFUNCTION("GOOGLETRANSLATE($C9, ""en"",""tr"")"),"televizyon")</f>
        <v>televizyon</v>
      </c>
      <c r="H9" s="4">
        <v>1.67</v>
      </c>
    </row>
    <row r="10" spans="1:8" x14ac:dyDescent="0.3">
      <c r="A10" s="2">
        <v>8</v>
      </c>
      <c r="B10" s="2" t="s">
        <v>19</v>
      </c>
      <c r="C10" s="2" t="s">
        <v>20</v>
      </c>
      <c r="D10" s="2">
        <v>2.5</v>
      </c>
      <c r="E10" s="4">
        <v>8</v>
      </c>
      <c r="F10" s="4" t="str">
        <f ca="1">IFERROR(__xludf.DUMMYFUNCTION("GOOGLETRANSLATE($B10, ""en"",""tr"")"),"Birleşmiş Milletler")</f>
        <v>Birleşmiş Milletler</v>
      </c>
      <c r="G10" s="4" t="s">
        <v>21</v>
      </c>
      <c r="H10" s="4">
        <v>2.5</v>
      </c>
    </row>
    <row r="11" spans="1:8" x14ac:dyDescent="0.3">
      <c r="A11" s="2">
        <v>9</v>
      </c>
      <c r="B11" s="2" t="s">
        <v>22</v>
      </c>
      <c r="C11" s="2" t="s">
        <v>23</v>
      </c>
      <c r="D11" s="2">
        <v>3</v>
      </c>
      <c r="E11" s="4">
        <v>9</v>
      </c>
      <c r="F11" s="4" t="s">
        <v>24</v>
      </c>
      <c r="G11" s="5" t="s">
        <v>25</v>
      </c>
      <c r="H11" s="4">
        <v>3</v>
      </c>
    </row>
    <row r="12" spans="1:8" x14ac:dyDescent="0.3">
      <c r="A12" s="2">
        <v>10</v>
      </c>
      <c r="B12" s="2" t="s">
        <v>26</v>
      </c>
      <c r="C12" s="2" t="s">
        <v>27</v>
      </c>
      <c r="D12" s="2">
        <v>1.5</v>
      </c>
      <c r="E12" s="4">
        <v>10</v>
      </c>
      <c r="F12" s="4" t="str">
        <f ca="1">IFERROR(__xludf.DUMMYFUNCTION("GOOGLETRANSLATE($B12, ""en"",""tr"")"),"bazilika")</f>
        <v>bazilika</v>
      </c>
      <c r="G12" s="4" t="str">
        <f ca="1">IFERROR(__xludf.DUMMYFUNCTION("GOOGLETRANSLATE($C12, ""en"",""tr"")"),"mozaik")</f>
        <v>mozaik</v>
      </c>
      <c r="H12" s="4">
        <v>1.5</v>
      </c>
    </row>
    <row r="13" spans="1:8" x14ac:dyDescent="0.3">
      <c r="A13" s="2">
        <v>11</v>
      </c>
      <c r="B13" s="2" t="s">
        <v>28</v>
      </c>
      <c r="C13" s="2" t="s">
        <v>29</v>
      </c>
      <c r="D13" s="2">
        <v>2</v>
      </c>
      <c r="E13" s="4">
        <v>11</v>
      </c>
      <c r="F13" s="4" t="str">
        <f ca="1">IFERROR(__xludf.DUMMYFUNCTION("GOOGLETRANSLATE($B13, ""en"",""tr"")"),"Suluboya boyama")</f>
        <v>Suluboya boyama</v>
      </c>
      <c r="G13" s="4" t="str">
        <f ca="1">IFERROR(__xludf.DUMMYFUNCTION("GOOGLETRANSLATE($C13, ""en"",""tr"")"),"fırçalamak")</f>
        <v>fırçalamak</v>
      </c>
      <c r="H13" s="4">
        <v>2</v>
      </c>
    </row>
    <row r="14" spans="1:8" x14ac:dyDescent="0.3">
      <c r="A14" s="2">
        <v>12</v>
      </c>
      <c r="B14" s="2" t="s">
        <v>30</v>
      </c>
      <c r="C14" s="2" t="s">
        <v>31</v>
      </c>
      <c r="D14" s="2">
        <v>2.67</v>
      </c>
      <c r="E14" s="4">
        <v>12</v>
      </c>
      <c r="F14" s="4" t="str">
        <f ca="1">IFERROR(__xludf.DUMMYFUNCTION("GOOGLETRANSLATE($B14, ""en"",""tr"")"),"demokrasi")</f>
        <v>demokrasi</v>
      </c>
      <c r="G14" s="4" t="str">
        <f ca="1">IFERROR(__xludf.DUMMYFUNCTION("GOOGLETRANSLATE($C14, ""en"",""tr"")"),"monarşi")</f>
        <v>monarşi</v>
      </c>
      <c r="H14" s="4">
        <v>2.67</v>
      </c>
    </row>
    <row r="15" spans="1:8" x14ac:dyDescent="0.3">
      <c r="A15" s="2">
        <v>13</v>
      </c>
      <c r="B15" s="2" t="s">
        <v>32</v>
      </c>
      <c r="C15" s="2" t="s">
        <v>33</v>
      </c>
      <c r="D15" s="2">
        <v>3</v>
      </c>
      <c r="E15" s="4">
        <v>13</v>
      </c>
      <c r="F15" s="4" t="str">
        <f ca="1">IFERROR(__xludf.DUMMYFUNCTION("GOOGLETRANSLATE($B15, ""en"",""tr"")"),"Gauss")</f>
        <v>Gauss</v>
      </c>
      <c r="G15" s="5" t="s">
        <v>34</v>
      </c>
      <c r="H15" s="4">
        <v>3</v>
      </c>
    </row>
    <row r="16" spans="1:8" x14ac:dyDescent="0.3">
      <c r="A16" s="2">
        <v>14</v>
      </c>
      <c r="B16" s="2" t="s">
        <v>35</v>
      </c>
      <c r="C16" s="2" t="s">
        <v>36</v>
      </c>
      <c r="D16" s="2">
        <v>0</v>
      </c>
      <c r="E16" s="4">
        <v>14</v>
      </c>
      <c r="F16" s="4" t="str">
        <f ca="1">IFERROR(__xludf.DUMMYFUNCTION("GOOGLETRANSLATE($B16, ""en"",""tr"")"),"tüberküloz")</f>
        <v>tüberküloz</v>
      </c>
      <c r="G16" s="5" t="s">
        <v>37</v>
      </c>
      <c r="H16" s="4">
        <v>0</v>
      </c>
    </row>
    <row r="17" spans="1:8" x14ac:dyDescent="0.3">
      <c r="A17" s="2">
        <v>15</v>
      </c>
      <c r="B17" s="2" t="s">
        <v>38</v>
      </c>
      <c r="C17" s="2" t="s">
        <v>39</v>
      </c>
      <c r="D17" s="2">
        <v>4</v>
      </c>
      <c r="E17" s="4">
        <v>15</v>
      </c>
      <c r="F17" s="4" t="str">
        <f ca="1">IFERROR(__xludf.DUMMYFUNCTION("GOOGLETRANSLATE($B17, ""en"",""tr"")"),"kendi kendini süren araba")</f>
        <v>kendi kendini süren araba</v>
      </c>
      <c r="G17" s="4" t="str">
        <f ca="1">IFERROR(__xludf.DUMMYFUNCTION("GOOGLETRANSLATE($C17, ""en"",""tr"")"),"özerk araba")</f>
        <v>özerk araba</v>
      </c>
      <c r="H17" s="4">
        <v>4</v>
      </c>
    </row>
    <row r="18" spans="1:8" x14ac:dyDescent="0.3">
      <c r="A18" s="2">
        <v>16</v>
      </c>
      <c r="B18" s="2" t="s">
        <v>40</v>
      </c>
      <c r="C18" s="2" t="s">
        <v>41</v>
      </c>
      <c r="D18" s="2">
        <v>1.25</v>
      </c>
      <c r="E18" s="4">
        <v>16</v>
      </c>
      <c r="F18" s="4" t="str">
        <f ca="1">IFERROR(__xludf.DUMMYFUNCTION("GOOGLETRANSLATE($B18, ""en"",""tr"")"),"kıyamet")</f>
        <v>kıyamet</v>
      </c>
      <c r="G18" s="4" t="str">
        <f ca="1">IFERROR(__xludf.DUMMYFUNCTION("GOOGLETRANSLATE($C18, ""en"",""tr"")"),"ateş")</f>
        <v>ateş</v>
      </c>
      <c r="H18" s="4">
        <v>1.25</v>
      </c>
    </row>
    <row r="19" spans="1:8" x14ac:dyDescent="0.3">
      <c r="A19" s="2">
        <v>17</v>
      </c>
      <c r="B19" s="2" t="s">
        <v>42</v>
      </c>
      <c r="C19" s="2" t="s">
        <v>43</v>
      </c>
      <c r="D19" s="2">
        <v>0.25</v>
      </c>
      <c r="E19" s="4">
        <v>17</v>
      </c>
      <c r="F19" s="4" t="str">
        <f ca="1">IFERROR(__xludf.DUMMYFUNCTION("GOOGLETRANSLATE($B19, ""en"",""tr"")"),"hız")</f>
        <v>hız</v>
      </c>
      <c r="G19" s="4" t="str">
        <f ca="1">IFERROR(__xludf.DUMMYFUNCTION("GOOGLETRANSLATE($C19, ""en"",""tr"")"),"postalamak")</f>
        <v>postalamak</v>
      </c>
      <c r="H19" s="4">
        <v>0.25</v>
      </c>
    </row>
    <row r="20" spans="1:8" x14ac:dyDescent="0.3">
      <c r="A20" s="2">
        <v>18</v>
      </c>
      <c r="B20" s="2" t="s">
        <v>44</v>
      </c>
      <c r="C20" s="2" t="s">
        <v>45</v>
      </c>
      <c r="D20" s="2">
        <v>3.25</v>
      </c>
      <c r="E20" s="4">
        <v>18</v>
      </c>
      <c r="F20" s="5" t="s">
        <v>44</v>
      </c>
      <c r="G20" s="4" t="str">
        <f ca="1">IFERROR(__xludf.DUMMYFUNCTION("GOOGLETRANSLATE($C20, ""en"",""tr"")"),"Wii")</f>
        <v>Wii</v>
      </c>
      <c r="H20" s="4">
        <v>3.25</v>
      </c>
    </row>
    <row r="21" spans="1:8" x14ac:dyDescent="0.3">
      <c r="A21" s="2">
        <v>19</v>
      </c>
      <c r="B21" s="2" t="s">
        <v>46</v>
      </c>
      <c r="C21" s="2" t="s">
        <v>47</v>
      </c>
      <c r="D21" s="2">
        <v>4</v>
      </c>
      <c r="E21" s="4">
        <v>19</v>
      </c>
      <c r="F21" s="4" t="str">
        <f ca="1">IFERROR(__xludf.DUMMYFUNCTION("GOOGLETRANSLATE($B21, ""en"",""tr"")"),"dizüstü bilgisayar")</f>
        <v>dizüstü bilgisayar</v>
      </c>
      <c r="G21" s="4" t="str">
        <f ca="1">IFERROR(__xludf.DUMMYFUNCTION("GOOGLETRANSLATE($C21, ""en"",""tr"")"),"not defteri")</f>
        <v>not defteri</v>
      </c>
      <c r="H21" s="4">
        <v>4</v>
      </c>
    </row>
    <row r="22" spans="1:8" x14ac:dyDescent="0.3">
      <c r="A22" s="2">
        <v>20</v>
      </c>
      <c r="B22" s="2" t="s">
        <v>48</v>
      </c>
      <c r="C22" s="2" t="s">
        <v>49</v>
      </c>
      <c r="D22" s="2">
        <v>3</v>
      </c>
      <c r="E22" s="4">
        <v>20</v>
      </c>
      <c r="F22" s="4" t="str">
        <f ca="1">IFERROR(__xludf.DUMMYFUNCTION("GOOGLETRANSLATE($B22, ""en"",""tr"")"),"Harry Potter")</f>
        <v>Harry Potter</v>
      </c>
      <c r="G22" s="4" t="str">
        <f ca="1">IFERROR(__xludf.DUMMYFUNCTION("GOOGLETRANSLATE($C22, ""en"",""tr"")"),"sihirbaz")</f>
        <v>sihirbaz</v>
      </c>
      <c r="H22" s="4">
        <v>3</v>
      </c>
    </row>
    <row r="23" spans="1:8" x14ac:dyDescent="0.3">
      <c r="A23" s="2">
        <v>21</v>
      </c>
      <c r="B23" s="2" t="s">
        <v>50</v>
      </c>
      <c r="C23" s="2" t="s">
        <v>51</v>
      </c>
      <c r="D23" s="2">
        <v>3.17</v>
      </c>
      <c r="E23" s="4">
        <v>21</v>
      </c>
      <c r="F23" s="4" t="str">
        <f ca="1">IFERROR(__xludf.DUMMYFUNCTION("GOOGLETRANSLATE($B23, ""en"",""tr"")"),"snowboard")</f>
        <v>snowboard</v>
      </c>
      <c r="G23" s="4" t="str">
        <f ca="1">IFERROR(__xludf.DUMMYFUNCTION("GOOGLETRANSLATE($C23, ""en"",""tr"")"),"kayak yapma")</f>
        <v>kayak yapma</v>
      </c>
      <c r="H23" s="4">
        <v>3.17</v>
      </c>
    </row>
    <row r="24" spans="1:8" x14ac:dyDescent="0.3">
      <c r="A24" s="2">
        <v>22</v>
      </c>
      <c r="B24" s="2" t="s">
        <v>52</v>
      </c>
      <c r="C24" s="2" t="s">
        <v>53</v>
      </c>
      <c r="D24" s="2">
        <v>1.33</v>
      </c>
      <c r="E24" s="4">
        <v>22</v>
      </c>
      <c r="F24" s="4" t="str">
        <f ca="1">IFERROR(__xludf.DUMMYFUNCTION("GOOGLETRANSLATE($B24, ""en"",""tr"")"),"Işaretçi")</f>
        <v>Işaretçi</v>
      </c>
      <c r="G24" s="4" t="str">
        <f ca="1">IFERROR(__xludf.DUMMYFUNCTION("GOOGLETRANSLATE($C24, ""en"",""tr"")"),"slayt")</f>
        <v>slayt</v>
      </c>
      <c r="H24" s="4">
        <v>1.33</v>
      </c>
    </row>
    <row r="25" spans="1:8" x14ac:dyDescent="0.3">
      <c r="A25" s="2">
        <v>23</v>
      </c>
      <c r="B25" s="2" t="s">
        <v>54</v>
      </c>
      <c r="C25" s="2" t="s">
        <v>55</v>
      </c>
      <c r="D25" s="2">
        <v>1.25</v>
      </c>
      <c r="E25" s="4">
        <v>23</v>
      </c>
      <c r="F25" s="4" t="str">
        <f ca="1">IFERROR(__xludf.DUMMYFUNCTION("GOOGLETRANSLATE($B25, ""en"",""tr"")"),"sensör")</f>
        <v>sensör</v>
      </c>
      <c r="G25" s="4" t="str">
        <f ca="1">IFERROR(__xludf.DUMMYFUNCTION("GOOGLETRANSLATE($C25, ""en"",""tr"")"),"radyatör")</f>
        <v>radyatör</v>
      </c>
      <c r="H25" s="4">
        <v>1.25</v>
      </c>
    </row>
    <row r="26" spans="1:8" x14ac:dyDescent="0.3">
      <c r="A26" s="2">
        <v>24</v>
      </c>
      <c r="B26" s="2" t="s">
        <v>56</v>
      </c>
      <c r="C26" s="2" t="s">
        <v>57</v>
      </c>
      <c r="D26" s="2">
        <v>0.42</v>
      </c>
      <c r="E26" s="4">
        <v>24</v>
      </c>
      <c r="F26" s="4" t="str">
        <f ca="1">IFERROR(__xludf.DUMMYFUNCTION("GOOGLETRANSLATE($B26, ""en"",""tr"")"),"vurmak")</f>
        <v>vurmak</v>
      </c>
      <c r="G26" s="4" t="str">
        <f ca="1">IFERROR(__xludf.DUMMYFUNCTION("GOOGLETRANSLATE($C26, ""en"",""tr"")"),"çerçeve")</f>
        <v>çerçeve</v>
      </c>
      <c r="H26" s="4">
        <v>0.42</v>
      </c>
    </row>
    <row r="27" spans="1:8" x14ac:dyDescent="0.3">
      <c r="A27" s="2">
        <v>25</v>
      </c>
      <c r="B27" s="2" t="s">
        <v>58</v>
      </c>
      <c r="C27" s="2" t="s">
        <v>59</v>
      </c>
      <c r="D27" s="2">
        <v>3.83</v>
      </c>
      <c r="E27" s="4">
        <v>25</v>
      </c>
      <c r="F27" s="4" t="str">
        <f ca="1">IFERROR(__xludf.DUMMYFUNCTION("GOOGLETRANSLATE($B27, ""en"",""tr"")"),"teori")</f>
        <v>teori</v>
      </c>
      <c r="G27" s="4" t="str">
        <f ca="1">IFERROR(__xludf.DUMMYFUNCTION("GOOGLETRANSLATE($C27, ""en"",""tr"")"),"hipotez")</f>
        <v>hipotez</v>
      </c>
      <c r="H27" s="4">
        <v>3.83</v>
      </c>
    </row>
    <row r="28" spans="1:8" x14ac:dyDescent="0.3">
      <c r="A28" s="2">
        <v>26</v>
      </c>
      <c r="B28" s="2" t="s">
        <v>60</v>
      </c>
      <c r="C28" s="2" t="s">
        <v>61</v>
      </c>
      <c r="D28" s="2">
        <v>2.92</v>
      </c>
      <c r="E28" s="4">
        <v>26</v>
      </c>
      <c r="F28" s="4" t="str">
        <f ca="1">IFERROR(__xludf.DUMMYFUNCTION("GOOGLETRANSLATE($B28, ""en"",""tr"")"),"Wall Street")</f>
        <v>Wall Street</v>
      </c>
      <c r="G28" s="4" t="str">
        <f ca="1">IFERROR(__xludf.DUMMYFUNCTION("GOOGLETRANSLATE($C28, ""en"",""tr"")"),"Finansal market")</f>
        <v>Finansal market</v>
      </c>
      <c r="H28" s="4">
        <v>2.92</v>
      </c>
    </row>
    <row r="29" spans="1:8" x14ac:dyDescent="0.3">
      <c r="A29" s="2">
        <v>27</v>
      </c>
      <c r="B29" s="2" t="s">
        <v>62</v>
      </c>
      <c r="C29" s="2" t="s">
        <v>63</v>
      </c>
      <c r="D29" s="2">
        <v>2.58</v>
      </c>
      <c r="E29" s="4">
        <v>27</v>
      </c>
      <c r="F29" s="4" t="str">
        <f ca="1">IFERROR(__xludf.DUMMYFUNCTION("GOOGLETRANSLATE($B29, ""en"",""tr"")"),"Darwin")</f>
        <v>Darwin</v>
      </c>
      <c r="G29" s="4" t="str">
        <f ca="1">IFERROR(__xludf.DUMMYFUNCTION("GOOGLETRANSLATE($C29, ""en"",""tr"")"),"evrim")</f>
        <v>evrim</v>
      </c>
      <c r="H29" s="4">
        <v>2.58</v>
      </c>
    </row>
    <row r="30" spans="1:8" x14ac:dyDescent="0.3">
      <c r="A30" s="2">
        <v>28</v>
      </c>
      <c r="B30" s="2" t="s">
        <v>10</v>
      </c>
      <c r="C30" s="2" t="s">
        <v>64</v>
      </c>
      <c r="D30" s="2">
        <v>3.42</v>
      </c>
      <c r="E30" s="4">
        <v>28</v>
      </c>
      <c r="F30" s="4" t="str">
        <f ca="1">IFERROR(__xludf.DUMMYFUNCTION("GOOGLETRANSLATE($B30, ""en"",""tr"")"),"aktör")</f>
        <v>aktör</v>
      </c>
      <c r="G30" s="4" t="str">
        <f ca="1">IFERROR(__xludf.DUMMYFUNCTION("GOOGLETRANSLATE($C30, ""en"",""tr"")"),"aktris")</f>
        <v>aktris</v>
      </c>
      <c r="H30" s="4">
        <v>3.42</v>
      </c>
    </row>
    <row r="31" spans="1:8" x14ac:dyDescent="0.3">
      <c r="A31" s="2">
        <v>29</v>
      </c>
      <c r="B31" s="2" t="s">
        <v>65</v>
      </c>
      <c r="C31" s="2" t="s">
        <v>66</v>
      </c>
      <c r="D31" s="2">
        <v>2.25</v>
      </c>
      <c r="E31" s="4">
        <v>29</v>
      </c>
      <c r="F31" s="4" t="str">
        <f ca="1">IFERROR(__xludf.DUMMYFUNCTION("GOOGLETRANSLATE($B31, ""en"",""tr"")"),"film")</f>
        <v>film</v>
      </c>
      <c r="G31" s="4" t="str">
        <f ca="1">IFERROR(__xludf.DUMMYFUNCTION("GOOGLETRANSLATE($C31, ""en"",""tr"")"),"tiyatro")</f>
        <v>tiyatro</v>
      </c>
      <c r="H31" s="4">
        <v>2.25</v>
      </c>
    </row>
    <row r="32" spans="1:8" x14ac:dyDescent="0.3">
      <c r="A32" s="2">
        <v>30</v>
      </c>
      <c r="B32" s="2" t="s">
        <v>67</v>
      </c>
      <c r="C32" s="2" t="s">
        <v>68</v>
      </c>
      <c r="D32" s="2">
        <v>2.42</v>
      </c>
      <c r="E32" s="4">
        <v>30</v>
      </c>
      <c r="F32" s="4" t="str">
        <f ca="1">IFERROR(__xludf.DUMMYFUNCTION("GOOGLETRANSLATE($B32, ""en"",""tr"")"),"Milli marş")</f>
        <v>Milli marş</v>
      </c>
      <c r="G32" s="4" t="str">
        <f ca="1">IFERROR(__xludf.DUMMYFUNCTION("GOOGLETRANSLATE($C32, ""en"",""tr"")"),"vatanseverlik")</f>
        <v>vatanseverlik</v>
      </c>
      <c r="H32" s="4">
        <v>2.42</v>
      </c>
    </row>
    <row r="33" spans="1:8" x14ac:dyDescent="0.3">
      <c r="A33" s="2">
        <v>31</v>
      </c>
      <c r="B33" s="2" t="s">
        <v>69</v>
      </c>
      <c r="C33" s="2" t="s">
        <v>70</v>
      </c>
      <c r="D33" s="2">
        <v>3.92</v>
      </c>
      <c r="E33" s="4">
        <v>31</v>
      </c>
      <c r="F33" s="4" t="str">
        <f ca="1">IFERROR(__xludf.DUMMYFUNCTION("GOOGLETRANSLATE($B33, ""en"",""tr"")"),"ekran")</f>
        <v>ekran</v>
      </c>
      <c r="G33" s="4" t="str">
        <f ca="1">IFERROR(__xludf.DUMMYFUNCTION("GOOGLETRANSLATE($C33, ""en"",""tr"")"),"izlemek")</f>
        <v>izlemek</v>
      </c>
      <c r="H33" s="4">
        <v>3.92</v>
      </c>
    </row>
    <row r="34" spans="1:8" x14ac:dyDescent="0.3">
      <c r="A34" s="2">
        <v>32</v>
      </c>
      <c r="B34" s="2" t="s">
        <v>71</v>
      </c>
      <c r="C34" s="2" t="s">
        <v>72</v>
      </c>
      <c r="D34" s="2">
        <v>0.83</v>
      </c>
      <c r="E34" s="4">
        <v>32</v>
      </c>
      <c r="F34" s="4" t="str">
        <f ca="1">IFERROR(__xludf.DUMMYFUNCTION("GOOGLETRANSLATE($B34, ""en"",""tr"")"),"günlük")</f>
        <v>günlük</v>
      </c>
      <c r="G34" s="4" t="str">
        <f ca="1">IFERROR(__xludf.DUMMYFUNCTION("GOOGLETRANSLATE($C34, ""en"",""tr"")"),"Bal")</f>
        <v>Bal</v>
      </c>
      <c r="H34" s="4">
        <v>0.83</v>
      </c>
    </row>
    <row r="35" spans="1:8" x14ac:dyDescent="0.3">
      <c r="A35" s="2">
        <v>33</v>
      </c>
      <c r="B35" s="2" t="s">
        <v>73</v>
      </c>
      <c r="C35" s="2" t="s">
        <v>74</v>
      </c>
      <c r="D35" s="2">
        <v>3.92</v>
      </c>
      <c r="E35" s="4">
        <v>33</v>
      </c>
      <c r="F35" s="4" t="str">
        <f ca="1">IFERROR(__xludf.DUMMYFUNCTION("GOOGLETRANSLATE($B35, ""en"",""tr"")"),"Everest Dağı")</f>
        <v>Everest Dağı</v>
      </c>
      <c r="G35" s="4" t="str">
        <f ca="1">IFERROR(__xludf.DUMMYFUNCTION("GOOGLETRANSLATE($C35, ""en"",""tr"")"),"Comolungma")</f>
        <v>Comolungma</v>
      </c>
      <c r="H35" s="4">
        <v>3.92</v>
      </c>
    </row>
    <row r="36" spans="1:8" x14ac:dyDescent="0.3">
      <c r="A36" s="2">
        <v>34</v>
      </c>
      <c r="B36" s="2" t="s">
        <v>75</v>
      </c>
      <c r="C36" s="2" t="s">
        <v>76</v>
      </c>
      <c r="D36" s="2">
        <v>2.33</v>
      </c>
      <c r="E36" s="4">
        <v>34</v>
      </c>
      <c r="F36" s="5" t="s">
        <v>77</v>
      </c>
      <c r="G36" s="4" t="str">
        <f ca="1">IFERROR(__xludf.DUMMYFUNCTION("GOOGLETRANSLATE($C36, ""en"",""tr"")"),"Yılanlar ve merdivenler")</f>
        <v>Yılanlar ve merdivenler</v>
      </c>
      <c r="H36" s="4">
        <v>2.33</v>
      </c>
    </row>
    <row r="37" spans="1:8" x14ac:dyDescent="0.3">
      <c r="A37" s="2">
        <v>35</v>
      </c>
      <c r="B37" s="2" t="s">
        <v>78</v>
      </c>
      <c r="C37" s="2" t="s">
        <v>79</v>
      </c>
      <c r="D37" s="2">
        <v>1.83</v>
      </c>
      <c r="E37" s="4">
        <v>35</v>
      </c>
      <c r="F37" s="4" t="str">
        <f ca="1">IFERROR(__xludf.DUMMYFUNCTION("GOOGLETRANSLATE($B37, ""en"",""tr"")"),"pestisit")</f>
        <v>pestisit</v>
      </c>
      <c r="G37" s="4" t="str">
        <f ca="1">IFERROR(__xludf.DUMMYFUNCTION("GOOGLETRANSLATE($C37, ""en"",""tr"")"),"haşere")</f>
        <v>haşere</v>
      </c>
      <c r="H37" s="4">
        <v>1.83</v>
      </c>
    </row>
    <row r="38" spans="1:8" x14ac:dyDescent="0.3">
      <c r="A38" s="2">
        <v>36</v>
      </c>
      <c r="B38" s="2" t="s">
        <v>80</v>
      </c>
      <c r="C38" s="2" t="s">
        <v>81</v>
      </c>
      <c r="D38" s="2">
        <v>2.17</v>
      </c>
      <c r="E38" s="4">
        <v>36</v>
      </c>
      <c r="F38" s="4" t="str">
        <f ca="1">IFERROR(__xludf.DUMMYFUNCTION("GOOGLETRANSLATE($B38, ""en"",""tr"")"),"polis")</f>
        <v>polis</v>
      </c>
      <c r="G38" s="4" t="str">
        <f ca="1">IFERROR(__xludf.DUMMYFUNCTION("GOOGLETRANSLATE($C38, ""en"",""tr"")"),"politikacı")</f>
        <v>politikacı</v>
      </c>
      <c r="H38" s="4">
        <v>2.17</v>
      </c>
    </row>
    <row r="39" spans="1:8" x14ac:dyDescent="0.3">
      <c r="A39" s="2">
        <v>37</v>
      </c>
      <c r="B39" s="2" t="s">
        <v>82</v>
      </c>
      <c r="C39" s="2" t="s">
        <v>83</v>
      </c>
      <c r="D39" s="2">
        <v>3.17</v>
      </c>
      <c r="E39" s="4">
        <v>37</v>
      </c>
      <c r="F39" s="4" t="str">
        <f ca="1">IFERROR(__xludf.DUMMYFUNCTION("GOOGLETRANSLATE($B39, ""en"",""tr"")"),"nöropsikoloji")</f>
        <v>nöropsikoloji</v>
      </c>
      <c r="G39" s="4" t="str">
        <f ca="1">IFERROR(__xludf.DUMMYFUNCTION("GOOGLETRANSLATE($C39, ""en"",""tr"")"),"parapsikoloji")</f>
        <v>parapsikoloji</v>
      </c>
      <c r="H39" s="4">
        <v>3.17</v>
      </c>
    </row>
    <row r="40" spans="1:8" x14ac:dyDescent="0.3">
      <c r="A40" s="2">
        <v>38</v>
      </c>
      <c r="B40" s="2" t="s">
        <v>84</v>
      </c>
      <c r="C40" s="2" t="s">
        <v>85</v>
      </c>
      <c r="D40" s="2">
        <v>2.83</v>
      </c>
      <c r="E40" s="4">
        <v>38</v>
      </c>
      <c r="F40" s="4" t="str">
        <f ca="1">IFERROR(__xludf.DUMMYFUNCTION("GOOGLETRANSLATE($B40, ""en"",""tr"")"),"pil")</f>
        <v>pil</v>
      </c>
      <c r="G40" s="4" t="str">
        <f ca="1">IFERROR(__xludf.DUMMYFUNCTION("GOOGLETRANSLATE($C40, ""en"",""tr"")"),"enerji")</f>
        <v>enerji</v>
      </c>
      <c r="H40" s="4">
        <v>2.83</v>
      </c>
    </row>
    <row r="41" spans="1:8" x14ac:dyDescent="0.3">
      <c r="A41" s="2">
        <v>39</v>
      </c>
      <c r="B41" s="2" t="s">
        <v>86</v>
      </c>
      <c r="C41" s="2" t="s">
        <v>87</v>
      </c>
      <c r="D41" s="2">
        <v>0</v>
      </c>
      <c r="E41" s="4">
        <v>39</v>
      </c>
      <c r="F41" s="4" t="s">
        <v>88</v>
      </c>
      <c r="G41" s="4" t="str">
        <f ca="1">IFERROR(__xludf.DUMMYFUNCTION("GOOGLETRANSLATE($C41, ""en"",""tr"")"),"Kırtasiye")</f>
        <v>Kırtasiye</v>
      </c>
      <c r="H41" s="4">
        <v>0</v>
      </c>
    </row>
    <row r="42" spans="1:8" x14ac:dyDescent="0.3">
      <c r="A42" s="2">
        <v>40</v>
      </c>
      <c r="B42" s="2" t="s">
        <v>89</v>
      </c>
      <c r="C42" s="2" t="s">
        <v>90</v>
      </c>
      <c r="D42" s="2">
        <v>0.5</v>
      </c>
      <c r="E42" s="4">
        <v>40</v>
      </c>
      <c r="F42" s="4" t="str">
        <f ca="1">IFERROR(__xludf.DUMMYFUNCTION("GOOGLETRANSLATE($B42, ""en"",""tr"")"),"Örümcek Adam")</f>
        <v>Örümcek Adam</v>
      </c>
      <c r="G42" s="4" t="str">
        <f ca="1">IFERROR(__xludf.DUMMYFUNCTION("GOOGLETRANSLATE($C42, ""en"",""tr"")"),"sokak")</f>
        <v>sokak</v>
      </c>
      <c r="H42" s="4">
        <v>0.5</v>
      </c>
    </row>
    <row r="43" spans="1:8" x14ac:dyDescent="0.3">
      <c r="A43" s="2">
        <v>41</v>
      </c>
      <c r="B43" s="2" t="s">
        <v>91</v>
      </c>
      <c r="C43" s="2" t="s">
        <v>92</v>
      </c>
      <c r="D43" s="2">
        <v>3</v>
      </c>
      <c r="E43" s="4">
        <v>41</v>
      </c>
      <c r="F43" s="4" t="str">
        <f ca="1">IFERROR(__xludf.DUMMYFUNCTION("GOOGLETRANSLATE($B43, ""en"",""tr"")"),"Yarımada")</f>
        <v>Yarımada</v>
      </c>
      <c r="G43" s="4" t="str">
        <f ca="1">IFERROR(__xludf.DUMMYFUNCTION("GOOGLETRANSLATE($C43, ""en"",""tr"")"),"ada")</f>
        <v>ada</v>
      </c>
      <c r="H43" s="4">
        <v>3</v>
      </c>
    </row>
    <row r="44" spans="1:8" x14ac:dyDescent="0.3">
      <c r="A44" s="2">
        <v>42</v>
      </c>
      <c r="B44" s="2" t="s">
        <v>93</v>
      </c>
      <c r="C44" s="2" t="s">
        <v>94</v>
      </c>
      <c r="D44" s="2">
        <v>1.17</v>
      </c>
      <c r="E44" s="4">
        <v>42</v>
      </c>
      <c r="F44" s="4" t="str">
        <f ca="1">IFERROR(__xludf.DUMMYFUNCTION("GOOGLETRANSLATE($B44, ""en"",""tr"")"),"ekvator")</f>
        <v>ekvator</v>
      </c>
      <c r="G44" s="5" t="s">
        <v>95</v>
      </c>
      <c r="H44" s="4">
        <v>1.17</v>
      </c>
    </row>
    <row r="45" spans="1:8" x14ac:dyDescent="0.3">
      <c r="A45" s="2">
        <v>43</v>
      </c>
      <c r="B45" s="2" t="s">
        <v>96</v>
      </c>
      <c r="C45" s="2" t="s">
        <v>97</v>
      </c>
      <c r="D45" s="2">
        <v>3.83</v>
      </c>
      <c r="E45" s="4">
        <v>43</v>
      </c>
      <c r="F45" s="4" t="str">
        <f ca="1">IFERROR(__xludf.DUMMYFUNCTION("GOOGLETRANSLATE($B45, ""en"",""tr"")"),"çizelge")</f>
        <v>çizelge</v>
      </c>
      <c r="G45" s="4" t="str">
        <f ca="1">IFERROR(__xludf.DUMMYFUNCTION("GOOGLETRANSLATE($C45, ""en"",""tr"")"),"grafik")</f>
        <v>grafik</v>
      </c>
      <c r="H45" s="4">
        <v>3.83</v>
      </c>
    </row>
    <row r="46" spans="1:8" x14ac:dyDescent="0.3">
      <c r="A46" s="2">
        <v>44</v>
      </c>
      <c r="B46" s="2" t="s">
        <v>98</v>
      </c>
      <c r="C46" s="2" t="s">
        <v>99</v>
      </c>
      <c r="D46" s="2">
        <v>1.42</v>
      </c>
      <c r="E46" s="4">
        <v>44</v>
      </c>
      <c r="F46" s="4" t="str">
        <f ca="1">IFERROR(__xludf.DUMMYFUNCTION("GOOGLETRANSLATE($B46, ""en"",""tr"")"),"simülasyon")</f>
        <v>simülasyon</v>
      </c>
      <c r="G46" s="4" t="str">
        <f ca="1">IFERROR(__xludf.DUMMYFUNCTION("GOOGLETRANSLATE($C46, ""en"",""tr"")"),"robot")</f>
        <v>robot</v>
      </c>
      <c r="H46" s="4">
        <v>1.42</v>
      </c>
    </row>
    <row r="47" spans="1:8" x14ac:dyDescent="0.3">
      <c r="A47" s="2">
        <v>45</v>
      </c>
      <c r="B47" s="2" t="s">
        <v>100</v>
      </c>
      <c r="C47" s="2" t="s">
        <v>101</v>
      </c>
      <c r="D47" s="2">
        <v>3.17</v>
      </c>
      <c r="E47" s="4">
        <v>45</v>
      </c>
      <c r="F47" s="4" t="str">
        <f ca="1">IFERROR(__xludf.DUMMYFUNCTION("GOOGLETRANSLATE($B47, ""en"",""tr"")"),"Nike")</f>
        <v>Nike</v>
      </c>
      <c r="G47" s="4" t="str">
        <f ca="1">IFERROR(__xludf.DUMMYFUNCTION("GOOGLETRANSLATE($C47, ""en"",""tr"")"),"Adidas")</f>
        <v>Adidas</v>
      </c>
      <c r="H47" s="4">
        <v>3.17</v>
      </c>
    </row>
    <row r="48" spans="1:8" x14ac:dyDescent="0.3">
      <c r="A48" s="2">
        <v>46</v>
      </c>
      <c r="B48" s="2" t="s">
        <v>102</v>
      </c>
      <c r="C48" s="2" t="s">
        <v>103</v>
      </c>
      <c r="D48" s="2">
        <v>2.67</v>
      </c>
      <c r="E48" s="4">
        <v>46</v>
      </c>
      <c r="F48" s="4" t="str">
        <f ca="1">IFERROR(__xludf.DUMMYFUNCTION("GOOGLETRANSLATE($B48, ""en"",""tr"")"),"toplum")</f>
        <v>toplum</v>
      </c>
      <c r="G48" s="4" t="str">
        <f ca="1">IFERROR(__xludf.DUMMYFUNCTION("GOOGLETRANSLATE($C48, ""en"",""tr"")"),"kültür")</f>
        <v>kültür</v>
      </c>
      <c r="H48" s="4">
        <v>2.67</v>
      </c>
    </row>
    <row r="49" spans="1:8" x14ac:dyDescent="0.3">
      <c r="A49" s="2">
        <v>47</v>
      </c>
      <c r="B49" s="2" t="s">
        <v>104</v>
      </c>
      <c r="C49" s="2" t="s">
        <v>105</v>
      </c>
      <c r="D49" s="2">
        <v>2</v>
      </c>
      <c r="E49" s="4">
        <v>47</v>
      </c>
      <c r="F49" s="4" t="str">
        <f ca="1">IFERROR(__xludf.DUMMYFUNCTION("GOOGLETRANSLATE($B49, ""en"",""tr"")"),"strateji oyunu")</f>
        <v>strateji oyunu</v>
      </c>
      <c r="G49" s="4" t="str">
        <f ca="1">IFERROR(__xludf.DUMMYFUNCTION("GOOGLETRANSLATE($C49, ""en"",""tr"")"),"strateji")</f>
        <v>strateji</v>
      </c>
      <c r="H49" s="4">
        <v>2</v>
      </c>
    </row>
    <row r="50" spans="1:8" x14ac:dyDescent="0.3">
      <c r="A50" s="2">
        <v>48</v>
      </c>
      <c r="B50" s="2" t="s">
        <v>106</v>
      </c>
      <c r="C50" s="2" t="s">
        <v>107</v>
      </c>
      <c r="D50" s="2">
        <v>3.58</v>
      </c>
      <c r="E50" s="4">
        <v>48</v>
      </c>
      <c r="F50" s="4" t="str">
        <f ca="1">IFERROR(__xludf.DUMMYFUNCTION("GOOGLETRANSLATE($B50, ""en"",""tr"")"),"kilise")</f>
        <v>kilise</v>
      </c>
      <c r="G50" s="4" t="str">
        <f ca="1">IFERROR(__xludf.DUMMYFUNCTION("GOOGLETRANSLATE($C50, ""en"",""tr"")"),"katedral")</f>
        <v>katedral</v>
      </c>
      <c r="H50" s="4">
        <v>3.58</v>
      </c>
    </row>
    <row r="51" spans="1:8" x14ac:dyDescent="0.3">
      <c r="A51" s="2">
        <v>49</v>
      </c>
      <c r="B51" s="2" t="s">
        <v>108</v>
      </c>
      <c r="C51" s="2" t="s">
        <v>109</v>
      </c>
      <c r="D51" s="2">
        <v>1.42</v>
      </c>
      <c r="E51" s="4">
        <v>49</v>
      </c>
      <c r="F51" s="4" t="str">
        <f ca="1">IFERROR(__xludf.DUMMYFUNCTION("GOOGLETRANSLATE($B51, ""en"",""tr"")"),"çevirmen")</f>
        <v>çevirmen</v>
      </c>
      <c r="G51" s="4" t="str">
        <f ca="1">IFERROR(__xludf.DUMMYFUNCTION("GOOGLETRANSLATE($C51, ""en"",""tr"")"),"yabancı")</f>
        <v>yabancı</v>
      </c>
      <c r="H51" s="4">
        <v>1.42</v>
      </c>
    </row>
    <row r="52" spans="1:8" x14ac:dyDescent="0.3">
      <c r="A52" s="2">
        <v>50</v>
      </c>
      <c r="B52" s="2" t="s">
        <v>110</v>
      </c>
      <c r="C52" s="2" t="s">
        <v>111</v>
      </c>
      <c r="D52" s="2">
        <v>1.92</v>
      </c>
      <c r="E52" s="4">
        <v>50</v>
      </c>
      <c r="F52" s="4" t="str">
        <f ca="1">IFERROR(__xludf.DUMMYFUNCTION("GOOGLETRANSLATE($B52, ""en"",""tr"")"),"biyotop")</f>
        <v>biyotop</v>
      </c>
      <c r="G52" s="4" t="str">
        <f ca="1">IFERROR(__xludf.DUMMYFUNCTION("GOOGLETRANSLATE($C52, ""en"",""tr"")"),"Biyoloji")</f>
        <v>Biyoloji</v>
      </c>
      <c r="H52" s="4">
        <v>1.92</v>
      </c>
    </row>
    <row r="53" spans="1:8" x14ac:dyDescent="0.3">
      <c r="A53" s="2">
        <v>51</v>
      </c>
      <c r="B53" s="2" t="s">
        <v>112</v>
      </c>
      <c r="C53" s="2" t="s">
        <v>113</v>
      </c>
      <c r="D53" s="2">
        <v>2.25</v>
      </c>
      <c r="E53" s="4">
        <v>51</v>
      </c>
      <c r="F53" s="4" t="str">
        <f ca="1">IFERROR(__xludf.DUMMYFUNCTION("GOOGLETRANSLATE($B53, ""en"",""tr"")"),"magma")</f>
        <v>magma</v>
      </c>
      <c r="G53" s="4" t="str">
        <f ca="1">IFERROR(__xludf.DUMMYFUNCTION("GOOGLETRANSLATE($C53, ""en"",""tr"")"),"yanardağ")</f>
        <v>yanardağ</v>
      </c>
      <c r="H53" s="4">
        <v>2.25</v>
      </c>
    </row>
    <row r="54" spans="1:8" x14ac:dyDescent="0.3">
      <c r="A54" s="2">
        <v>52</v>
      </c>
      <c r="B54" s="2" t="s">
        <v>114</v>
      </c>
      <c r="C54" s="2" t="s">
        <v>115</v>
      </c>
      <c r="D54" s="2">
        <v>0</v>
      </c>
      <c r="E54" s="4">
        <v>52</v>
      </c>
      <c r="F54" s="4" t="str">
        <f ca="1">IFERROR(__xludf.DUMMYFUNCTION("GOOGLETRANSLATE($B54, ""en"",""tr"")"),"beyin fırtınası")</f>
        <v>beyin fırtınası</v>
      </c>
      <c r="G54" s="4" t="str">
        <f ca="1">IFERROR(__xludf.DUMMYFUNCTION("GOOGLETRANSLATE($C54, ""en"",""tr"")"),"teleskop")</f>
        <v>teleskop</v>
      </c>
      <c r="H54" s="4">
        <v>0</v>
      </c>
    </row>
    <row r="55" spans="1:8" x14ac:dyDescent="0.3">
      <c r="A55" s="2">
        <v>53</v>
      </c>
      <c r="B55" s="2" t="s">
        <v>116</v>
      </c>
      <c r="C55" s="2" t="s">
        <v>117</v>
      </c>
      <c r="D55" s="2">
        <v>2.67</v>
      </c>
      <c r="E55" s="4">
        <v>53</v>
      </c>
      <c r="F55" s="5" t="s">
        <v>116</v>
      </c>
      <c r="G55" s="5" t="s">
        <v>118</v>
      </c>
      <c r="H55" s="4">
        <v>2.67</v>
      </c>
    </row>
    <row r="56" spans="1:8" x14ac:dyDescent="0.3">
      <c r="A56" s="2">
        <v>54</v>
      </c>
      <c r="B56" s="2" t="s">
        <v>119</v>
      </c>
      <c r="C56" s="2" t="s">
        <v>120</v>
      </c>
      <c r="D56" s="2">
        <v>1.42</v>
      </c>
      <c r="E56" s="4">
        <v>54</v>
      </c>
      <c r="F56" s="4" t="str">
        <f ca="1">IFERROR(__xludf.DUMMYFUNCTION("GOOGLETRANSLATE($B56, ""en"",""tr"")"),"kuruş")</f>
        <v>kuruş</v>
      </c>
      <c r="G56" s="4" t="str">
        <f ca="1">IFERROR(__xludf.DUMMYFUNCTION("GOOGLETRANSLATE($C56, ""en"",""tr"")"),"pazarlık")</f>
        <v>pazarlık</v>
      </c>
      <c r="H56" s="4">
        <v>1.42</v>
      </c>
    </row>
    <row r="57" spans="1:8" x14ac:dyDescent="0.3">
      <c r="A57" s="2">
        <v>55</v>
      </c>
      <c r="B57" s="2" t="s">
        <v>121</v>
      </c>
      <c r="C57" s="2" t="s">
        <v>122</v>
      </c>
      <c r="D57" s="2">
        <v>2.08</v>
      </c>
      <c r="E57" s="4">
        <v>55</v>
      </c>
      <c r="F57" s="4" t="str">
        <f ca="1">IFERROR(__xludf.DUMMYFUNCTION("GOOGLETRANSLATE($B57, ""en"",""tr"")"),"siyasi parti")</f>
        <v>siyasi parti</v>
      </c>
      <c r="G57" s="4" t="str">
        <f ca="1">IFERROR(__xludf.DUMMYFUNCTION("GOOGLETRANSLATE($C57, ""en"",""tr"")"),"dernek")</f>
        <v>dernek</v>
      </c>
      <c r="H57" s="4">
        <v>2.08</v>
      </c>
    </row>
    <row r="58" spans="1:8" x14ac:dyDescent="0.3">
      <c r="A58" s="2">
        <v>56</v>
      </c>
      <c r="B58" s="2" t="s">
        <v>123</v>
      </c>
      <c r="C58" s="2" t="s">
        <v>124</v>
      </c>
      <c r="D58" s="2">
        <v>2</v>
      </c>
      <c r="E58" s="4">
        <v>56</v>
      </c>
      <c r="F58" s="4" t="str">
        <f ca="1">IFERROR(__xludf.DUMMYFUNCTION("GOOGLETRANSLATE($B58, ""en"",""tr"")"),"tsunami")</f>
        <v>tsunami</v>
      </c>
      <c r="G58" s="4" t="str">
        <f ca="1">IFERROR(__xludf.DUMMYFUNCTION("GOOGLETRANSLATE($C58, ""en"",""tr"")"),"deniz")</f>
        <v>deniz</v>
      </c>
      <c r="H58" s="4">
        <v>2</v>
      </c>
    </row>
    <row r="59" spans="1:8" x14ac:dyDescent="0.3">
      <c r="A59" s="2">
        <v>57</v>
      </c>
      <c r="B59" s="2" t="s">
        <v>125</v>
      </c>
      <c r="C59" s="2" t="s">
        <v>126</v>
      </c>
      <c r="D59" s="2">
        <v>0.42</v>
      </c>
      <c r="E59" s="4">
        <v>57</v>
      </c>
      <c r="F59" s="4" t="str">
        <f ca="1">IFERROR(__xludf.DUMMYFUNCTION("GOOGLETRANSLATE($B59, ""en"",""tr"")"),"devekuşu")</f>
        <v>devekuşu</v>
      </c>
      <c r="G59" s="4" t="str">
        <f ca="1">IFERROR(__xludf.DUMMYFUNCTION("GOOGLETRANSLATE($C59, ""en"",""tr"")"),"meyve bahçesi")</f>
        <v>meyve bahçesi</v>
      </c>
      <c r="H59" s="4">
        <v>0.42</v>
      </c>
    </row>
    <row r="60" spans="1:8" x14ac:dyDescent="0.3">
      <c r="A60" s="2">
        <v>58</v>
      </c>
      <c r="B60" s="2" t="s">
        <v>127</v>
      </c>
      <c r="C60" s="2" t="s">
        <v>128</v>
      </c>
      <c r="D60" s="2">
        <v>1.75</v>
      </c>
      <c r="E60" s="4">
        <v>58</v>
      </c>
      <c r="F60" s="4" t="str">
        <f ca="1">IFERROR(__xludf.DUMMYFUNCTION("GOOGLETRANSLATE($B60, ""en"",""tr"")"),"tarçın")</f>
        <v>tarçın</v>
      </c>
      <c r="G60" s="4" t="str">
        <f ca="1">IFERROR(__xludf.DUMMYFUNCTION("GOOGLETRANSLATE($C60, ""en"",""tr"")"),"Şeker")</f>
        <v>Şeker</v>
      </c>
      <c r="H60" s="4">
        <v>1.75</v>
      </c>
    </row>
    <row r="61" spans="1:8" x14ac:dyDescent="0.3">
      <c r="A61" s="2">
        <v>59</v>
      </c>
      <c r="B61" s="2" t="s">
        <v>129</v>
      </c>
      <c r="C61" s="2" t="s">
        <v>130</v>
      </c>
      <c r="D61" s="2">
        <v>1.83</v>
      </c>
      <c r="E61" s="4">
        <v>59</v>
      </c>
      <c r="F61" s="4" t="str">
        <f ca="1">IFERROR(__xludf.DUMMYFUNCTION("GOOGLETRANSLATE($B61, ""en"",""tr"")"),"süpürge")</f>
        <v>süpürge</v>
      </c>
      <c r="G61" s="4" t="str">
        <f ca="1">IFERROR(__xludf.DUMMYFUNCTION("GOOGLETRANSLATE($C61, ""en"",""tr"")"),"toz")</f>
        <v>toz</v>
      </c>
      <c r="H61" s="4">
        <v>1.83</v>
      </c>
    </row>
    <row r="62" spans="1:8" x14ac:dyDescent="0.3">
      <c r="A62" s="2">
        <v>60</v>
      </c>
      <c r="B62" s="2" t="s">
        <v>131</v>
      </c>
      <c r="C62" s="2" t="s">
        <v>132</v>
      </c>
      <c r="D62" s="2">
        <v>1.42</v>
      </c>
      <c r="E62" s="4">
        <v>60</v>
      </c>
      <c r="F62" s="4" t="str">
        <f ca="1">IFERROR(__xludf.DUMMYFUNCTION("GOOGLETRANSLATE($B62, ""en"",""tr"")"),"gökada")</f>
        <v>gökada</v>
      </c>
      <c r="G62" s="4" t="str">
        <f ca="1">IFERROR(__xludf.DUMMYFUNCTION("GOOGLETRANSLATE($C62, ""en"",""tr"")"),"astronom")</f>
        <v>astronom</v>
      </c>
      <c r="H62" s="4">
        <v>1.42</v>
      </c>
    </row>
    <row r="63" spans="1:8" x14ac:dyDescent="0.3">
      <c r="A63" s="2">
        <v>61</v>
      </c>
      <c r="B63" s="2" t="s">
        <v>133</v>
      </c>
      <c r="C63" s="2" t="s">
        <v>134</v>
      </c>
      <c r="D63" s="2">
        <v>3.17</v>
      </c>
      <c r="E63" s="4">
        <v>61</v>
      </c>
      <c r="F63" s="4" t="str">
        <f ca="1">IFERROR(__xludf.DUMMYFUNCTION("GOOGLETRANSLATE($B63, ""en"",""tr"")"),"Meyve suyu")</f>
        <v>Meyve suyu</v>
      </c>
      <c r="G63" s="5" t="s">
        <v>134</v>
      </c>
      <c r="H63" s="4">
        <v>3.17</v>
      </c>
    </row>
    <row r="64" spans="1:8" x14ac:dyDescent="0.3">
      <c r="A64" s="2">
        <v>62</v>
      </c>
      <c r="B64" s="2" t="s">
        <v>135</v>
      </c>
      <c r="C64" s="2" t="s">
        <v>136</v>
      </c>
      <c r="D64" s="2">
        <v>3.25</v>
      </c>
      <c r="E64" s="4">
        <v>62</v>
      </c>
      <c r="F64" s="5" t="s">
        <v>137</v>
      </c>
      <c r="G64" s="4" t="str">
        <f ca="1">IFERROR(__xludf.DUMMYFUNCTION("GOOGLETRANSLATE($C64, ""en"",""tr"")"),"perde")</f>
        <v>perde</v>
      </c>
      <c r="H64" s="4">
        <v>3.25</v>
      </c>
    </row>
    <row r="65" spans="1:8" x14ac:dyDescent="0.3">
      <c r="A65" s="2">
        <v>63</v>
      </c>
      <c r="B65" s="2" t="s">
        <v>138</v>
      </c>
      <c r="C65" s="2" t="s">
        <v>139</v>
      </c>
      <c r="D65" s="2">
        <v>3.5</v>
      </c>
      <c r="E65" s="4">
        <v>63</v>
      </c>
      <c r="F65" s="4" t="str">
        <f ca="1">IFERROR(__xludf.DUMMYFUNCTION("GOOGLETRANSLATE($B65, ""en"",""tr"")"),"adli")</f>
        <v>adli</v>
      </c>
      <c r="G65" s="4" t="str">
        <f ca="1">IFERROR(__xludf.DUMMYFUNCTION("GOOGLETRANSLATE($C65, ""en"",""tr"")"),"suçlu")</f>
        <v>suçlu</v>
      </c>
      <c r="H65" s="4">
        <v>3.5</v>
      </c>
    </row>
    <row r="66" spans="1:8" x14ac:dyDescent="0.3">
      <c r="A66" s="2">
        <v>64</v>
      </c>
      <c r="B66" s="2" t="s">
        <v>140</v>
      </c>
      <c r="C66" s="2" t="s">
        <v>141</v>
      </c>
      <c r="D66" s="2">
        <v>1.83</v>
      </c>
      <c r="E66" s="4">
        <v>64</v>
      </c>
      <c r="F66" s="4" t="str">
        <f ca="1">IFERROR(__xludf.DUMMYFUNCTION("GOOGLETRANSLATE($B66, ""en"",""tr"")"),"pankreas kanseri")</f>
        <v>pankreas kanseri</v>
      </c>
      <c r="G66" s="4" t="str">
        <f ca="1">IFERROR(__xludf.DUMMYFUNCTION("GOOGLETRANSLATE($C66, ""en"",""tr"")"),"kemoterapi")</f>
        <v>kemoterapi</v>
      </c>
      <c r="H66" s="4">
        <v>1.83</v>
      </c>
    </row>
    <row r="67" spans="1:8" x14ac:dyDescent="0.3">
      <c r="A67" s="2">
        <v>65</v>
      </c>
      <c r="B67" s="2" t="s">
        <v>142</v>
      </c>
      <c r="C67" s="2" t="s">
        <v>143</v>
      </c>
      <c r="D67" s="2">
        <v>2.75</v>
      </c>
      <c r="E67" s="4">
        <v>65</v>
      </c>
      <c r="F67" s="4" t="str">
        <f ca="1">IFERROR(__xludf.DUMMYFUNCTION("GOOGLETRANSLATE($B67, ""en"",""tr"")"),"geçmiş")</f>
        <v>geçmiş</v>
      </c>
      <c r="G67" s="4" t="str">
        <f ca="1">IFERROR(__xludf.DUMMYFUNCTION("GOOGLETRANSLATE($C67, ""en"",""tr"")"),"öncül")</f>
        <v>öncül</v>
      </c>
      <c r="H67" s="4">
        <v>2.75</v>
      </c>
    </row>
    <row r="68" spans="1:8" x14ac:dyDescent="0.3">
      <c r="A68" s="2">
        <v>66</v>
      </c>
      <c r="B68" s="2" t="s">
        <v>19</v>
      </c>
      <c r="C68" s="2" t="s">
        <v>144</v>
      </c>
      <c r="D68" s="2">
        <v>2.75</v>
      </c>
      <c r="E68" s="4">
        <v>66</v>
      </c>
      <c r="F68" s="4" t="str">
        <f ca="1">IFERROR(__xludf.DUMMYFUNCTION("GOOGLETRANSLATE($B68, ""en"",""tr"")"),"Birleşmiş Milletler")</f>
        <v>Birleşmiş Milletler</v>
      </c>
      <c r="G68" s="4" t="str">
        <f ca="1">IFERROR(__xludf.DUMMYFUNCTION("GOOGLETRANSLATE($C68, ""en"",""tr"")"),"Avrupa Parlementosu")</f>
        <v>Avrupa Parlementosu</v>
      </c>
      <c r="H68" s="4">
        <v>2.75</v>
      </c>
    </row>
    <row r="69" spans="1:8" x14ac:dyDescent="0.3">
      <c r="A69" s="2">
        <v>67</v>
      </c>
      <c r="B69" s="2" t="s">
        <v>145</v>
      </c>
      <c r="C69" s="2" t="s">
        <v>146</v>
      </c>
      <c r="D69" s="2">
        <v>1.83</v>
      </c>
      <c r="E69" s="4">
        <v>67</v>
      </c>
      <c r="F69" s="4" t="str">
        <f ca="1">IFERROR(__xludf.DUMMYFUNCTION("GOOGLETRANSLATE($B69, ""en"",""tr"")"),"şarkı")</f>
        <v>şarkı</v>
      </c>
      <c r="G69" s="5" t="s">
        <v>147</v>
      </c>
      <c r="H69" s="4">
        <v>1.83</v>
      </c>
    </row>
    <row r="70" spans="1:8" x14ac:dyDescent="0.3">
      <c r="A70" s="2">
        <v>68</v>
      </c>
      <c r="B70" s="2" t="s">
        <v>148</v>
      </c>
      <c r="C70" s="2" t="s">
        <v>47</v>
      </c>
      <c r="D70" s="2">
        <v>0</v>
      </c>
      <c r="E70" s="4">
        <v>68</v>
      </c>
      <c r="F70" s="4" t="str">
        <f ca="1">IFERROR(__xludf.DUMMYFUNCTION("GOOGLETRANSLATE($B70, ""en"",""tr"")"),"silah")</f>
        <v>silah</v>
      </c>
      <c r="G70" s="4" t="str">
        <f ca="1">IFERROR(__xludf.DUMMYFUNCTION("GOOGLETRANSLATE($C70, ""en"",""tr"")"),"not defteri")</f>
        <v>not defteri</v>
      </c>
      <c r="H70" s="4">
        <v>0</v>
      </c>
    </row>
    <row r="71" spans="1:8" x14ac:dyDescent="0.3">
      <c r="A71" s="2">
        <v>69</v>
      </c>
      <c r="B71" s="2" t="s">
        <v>149</v>
      </c>
      <c r="C71" s="2" t="s">
        <v>150</v>
      </c>
      <c r="D71" s="2">
        <v>0.57999999999999996</v>
      </c>
      <c r="E71" s="4">
        <v>69</v>
      </c>
      <c r="F71" s="4" t="str">
        <f ca="1">IFERROR(__xludf.DUMMYFUNCTION("GOOGLETRANSLATE($B71, ""en"",""tr"")"),"asetilkolin")</f>
        <v>asetilkolin</v>
      </c>
      <c r="G71" s="4" t="str">
        <f ca="1">IFERROR(__xludf.DUMMYFUNCTION("GOOGLETRANSLATE($C71, ""en"",""tr"")"),"iris")</f>
        <v>iris</v>
      </c>
      <c r="H71" s="4">
        <v>0.57999999999999996</v>
      </c>
    </row>
    <row r="72" spans="1:8" x14ac:dyDescent="0.3">
      <c r="A72" s="2">
        <v>70</v>
      </c>
      <c r="B72" s="2" t="s">
        <v>151</v>
      </c>
      <c r="C72" s="2" t="s">
        <v>152</v>
      </c>
      <c r="D72" s="2">
        <v>0.57999999999999996</v>
      </c>
      <c r="E72" s="4">
        <v>70</v>
      </c>
      <c r="F72" s="4" t="str">
        <f ca="1">IFERROR(__xludf.DUMMYFUNCTION("GOOGLETRANSLATE($B72, ""en"",""tr"")"),"alfabe")</f>
        <v>alfabe</v>
      </c>
      <c r="G72" s="4" t="str">
        <f ca="1">IFERROR(__xludf.DUMMYFUNCTION("GOOGLETRANSLATE($C72, ""en"",""tr"")"),"dolma kalem")</f>
        <v>dolma kalem</v>
      </c>
      <c r="H72" s="4">
        <v>0.57999999999999996</v>
      </c>
    </row>
    <row r="73" spans="1:8" x14ac:dyDescent="0.3">
      <c r="A73" s="2">
        <v>71</v>
      </c>
      <c r="B73" s="2" t="s">
        <v>153</v>
      </c>
      <c r="C73" s="2" t="s">
        <v>154</v>
      </c>
      <c r="D73" s="2">
        <v>2.67</v>
      </c>
      <c r="E73" s="4">
        <v>71</v>
      </c>
      <c r="F73" s="4" t="str">
        <f ca="1">IFERROR(__xludf.DUMMYFUNCTION("GOOGLETRANSLATE($B73, ""en"",""tr"")"),"Koro")</f>
        <v>Koro</v>
      </c>
      <c r="G73" s="4" t="str">
        <f ca="1">IFERROR(__xludf.DUMMYFUNCTION("GOOGLETRANSLATE($C73, ""en"",""tr"")"),"şarkıcı")</f>
        <v>şarkıcı</v>
      </c>
      <c r="H73" s="4">
        <v>2.67</v>
      </c>
    </row>
    <row r="74" spans="1:8" x14ac:dyDescent="0.3">
      <c r="A74" s="2">
        <v>72</v>
      </c>
      <c r="B74" s="2" t="s">
        <v>155</v>
      </c>
      <c r="C74" s="2" t="s">
        <v>156</v>
      </c>
      <c r="D74" s="2">
        <v>0.5</v>
      </c>
      <c r="E74" s="4">
        <v>72</v>
      </c>
      <c r="F74" s="4" t="str">
        <f ca="1">IFERROR(__xludf.DUMMYFUNCTION("GOOGLETRANSLATE($B74, ""en"",""tr"")"),"odun")</f>
        <v>odun</v>
      </c>
      <c r="G74" s="4" t="str">
        <f ca="1">IFERROR(__xludf.DUMMYFUNCTION("GOOGLETRANSLATE($C74, ""en"",""tr"")"),"battaniye")</f>
        <v>battaniye</v>
      </c>
      <c r="H74" s="4">
        <v>0.5</v>
      </c>
    </row>
    <row r="75" spans="1:8" x14ac:dyDescent="0.3">
      <c r="A75" s="2">
        <v>73</v>
      </c>
      <c r="B75" s="2" t="s">
        <v>157</v>
      </c>
      <c r="C75" s="2" t="s">
        <v>158</v>
      </c>
      <c r="D75" s="2">
        <v>1.25</v>
      </c>
      <c r="E75" s="4">
        <v>73</v>
      </c>
      <c r="F75" s="4" t="str">
        <f ca="1">IFERROR(__xludf.DUMMYFUNCTION("GOOGLETRANSLATE($B75, ""en"",""tr"")"),"asker")</f>
        <v>asker</v>
      </c>
      <c r="G75" s="4" t="str">
        <f ca="1">IFERROR(__xludf.DUMMYFUNCTION("GOOGLETRANSLATE($C75, ""en"",""tr"")"),"barış")</f>
        <v>barış</v>
      </c>
      <c r="H75" s="4">
        <v>1.25</v>
      </c>
    </row>
    <row r="76" spans="1:8" x14ac:dyDescent="0.3">
      <c r="A76" s="2">
        <v>74</v>
      </c>
      <c r="B76" s="2" t="s">
        <v>159</v>
      </c>
      <c r="C76" s="2" t="s">
        <v>160</v>
      </c>
      <c r="D76" s="2">
        <v>3.33</v>
      </c>
      <c r="E76" s="4">
        <v>74</v>
      </c>
      <c r="F76" s="5" t="s">
        <v>161</v>
      </c>
      <c r="G76" s="4" t="str">
        <f ca="1">IFERROR(__xludf.DUMMYFUNCTION("GOOGLETRANSLATE($C76, ""en"",""tr"")"),"Amerikan")</f>
        <v>Amerikan</v>
      </c>
      <c r="H76" s="4">
        <v>3.33</v>
      </c>
    </row>
    <row r="77" spans="1:8" x14ac:dyDescent="0.3">
      <c r="A77" s="2">
        <v>75</v>
      </c>
      <c r="B77" s="2" t="s">
        <v>162</v>
      </c>
      <c r="C77" s="2" t="s">
        <v>163</v>
      </c>
      <c r="D77" s="2">
        <v>3.25</v>
      </c>
      <c r="E77" s="4">
        <v>75</v>
      </c>
      <c r="F77" s="4" t="str">
        <f ca="1">IFERROR(__xludf.DUMMYFUNCTION("GOOGLETRANSLATE($B77, ""en"",""tr"")"),"kertenkele")</f>
        <v>kertenkele</v>
      </c>
      <c r="G77" s="4" t="str">
        <f ca="1">IFERROR(__xludf.DUMMYFUNCTION("GOOGLETRANSLATE($C77, ""en"",""tr"")"),"timsah")</f>
        <v>timsah</v>
      </c>
      <c r="H77" s="4">
        <v>3.25</v>
      </c>
    </row>
    <row r="78" spans="1:8" x14ac:dyDescent="0.3">
      <c r="A78" s="2">
        <v>76</v>
      </c>
      <c r="B78" s="2" t="s">
        <v>164</v>
      </c>
      <c r="C78" s="2" t="s">
        <v>165</v>
      </c>
      <c r="D78" s="2">
        <v>3.42</v>
      </c>
      <c r="E78" s="4">
        <v>76</v>
      </c>
      <c r="F78" s="4" t="str">
        <f ca="1">IFERROR(__xludf.DUMMYFUNCTION("GOOGLETRANSLATE($B78, ""en"",""tr"")"),"para")</f>
        <v>para</v>
      </c>
      <c r="G78" s="4" t="str">
        <f ca="1">IFERROR(__xludf.DUMMYFUNCTION("GOOGLETRANSLATE($C78, ""en"",""tr"")"),"peşin")</f>
        <v>peşin</v>
      </c>
      <c r="H78" s="4">
        <v>3.42</v>
      </c>
    </row>
    <row r="79" spans="1:8" x14ac:dyDescent="0.3">
      <c r="A79" s="2">
        <v>77</v>
      </c>
      <c r="B79" s="2" t="s">
        <v>166</v>
      </c>
      <c r="C79" s="2" t="s">
        <v>167</v>
      </c>
      <c r="D79" s="2">
        <v>3.5</v>
      </c>
      <c r="E79" s="4">
        <v>77</v>
      </c>
      <c r="F79" s="4" t="str">
        <f ca="1">IFERROR(__xludf.DUMMYFUNCTION("GOOGLETRANSLATE($B79, ""en"",""tr"")"),"Ahtapot Paul")</f>
        <v>Ahtapot Paul</v>
      </c>
      <c r="G79" s="4" t="str">
        <f ca="1">IFERROR(__xludf.DUMMYFUNCTION("GOOGLETRANSLATE($C79, ""en"",""tr"")"),"ahtapot")</f>
        <v>ahtapot</v>
      </c>
      <c r="H79" s="4">
        <v>3.5</v>
      </c>
    </row>
    <row r="80" spans="1:8" x14ac:dyDescent="0.3">
      <c r="A80" s="2">
        <v>78</v>
      </c>
      <c r="B80" s="2" t="s">
        <v>168</v>
      </c>
      <c r="C80" s="2" t="s">
        <v>169</v>
      </c>
      <c r="D80" s="2">
        <v>2.08</v>
      </c>
      <c r="E80" s="4">
        <v>78</v>
      </c>
      <c r="F80" s="4" t="str">
        <f ca="1">IFERROR(__xludf.DUMMYFUNCTION("GOOGLETRANSLATE($B80, ""en"",""tr"")"),"takvim")</f>
        <v>takvim</v>
      </c>
      <c r="G80" s="4" t="str">
        <f ca="1">IFERROR(__xludf.DUMMYFUNCTION("GOOGLETRANSLATE($C80, ""en"",""tr"")"),"tatil")</f>
        <v>tatil</v>
      </c>
      <c r="H80" s="4">
        <v>2.08</v>
      </c>
    </row>
    <row r="81" spans="1:8" x14ac:dyDescent="0.3">
      <c r="A81" s="2">
        <v>79</v>
      </c>
      <c r="B81" s="2" t="s">
        <v>170</v>
      </c>
      <c r="C81" s="2" t="s">
        <v>171</v>
      </c>
      <c r="D81" s="2">
        <v>3</v>
      </c>
      <c r="E81" s="4">
        <v>79</v>
      </c>
      <c r="F81" s="4" t="str">
        <f ca="1">IFERROR(__xludf.DUMMYFUNCTION("GOOGLETRANSLATE($B81, ""en"",""tr"")"),"temel")</f>
        <v>temel</v>
      </c>
      <c r="G81" s="4" t="str">
        <f ca="1">IFERROR(__xludf.DUMMYFUNCTION("GOOGLETRANSLATE($C81, ""en"",""tr"")"),"kimyasal madde")</f>
        <v>kimyasal madde</v>
      </c>
      <c r="H81" s="4">
        <v>3</v>
      </c>
    </row>
    <row r="82" spans="1:8" x14ac:dyDescent="0.3">
      <c r="A82" s="2">
        <v>80</v>
      </c>
      <c r="B82" s="2" t="s">
        <v>172</v>
      </c>
      <c r="C82" s="2" t="s">
        <v>162</v>
      </c>
      <c r="D82" s="2">
        <v>0</v>
      </c>
      <c r="E82" s="4">
        <v>80</v>
      </c>
      <c r="F82" s="4" t="str">
        <f ca="1">IFERROR(__xludf.DUMMYFUNCTION("GOOGLETRANSLATE($B82, ""en"",""tr"")"),"devlet")</f>
        <v>devlet</v>
      </c>
      <c r="G82" s="4" t="str">
        <f ca="1">IFERROR(__xludf.DUMMYFUNCTION("GOOGLETRANSLATE($C82, ""en"",""tr"")"),"kertenkele")</f>
        <v>kertenkele</v>
      </c>
      <c r="H82" s="4">
        <v>0</v>
      </c>
    </row>
    <row r="83" spans="1:8" x14ac:dyDescent="0.3">
      <c r="A83" s="2">
        <v>81</v>
      </c>
      <c r="B83" s="2" t="s">
        <v>173</v>
      </c>
      <c r="C83" s="2" t="s">
        <v>174</v>
      </c>
      <c r="D83" s="2">
        <v>1.58</v>
      </c>
      <c r="E83" s="4">
        <v>81</v>
      </c>
      <c r="F83" s="4" t="str">
        <f ca="1">IFERROR(__xludf.DUMMYFUNCTION("GOOGLETRANSLATE($B83, ""en"",""tr"")"),"JPY")</f>
        <v>JPY</v>
      </c>
      <c r="G83" s="4" t="str">
        <f ca="1">IFERROR(__xludf.DUMMYFUNCTION("GOOGLETRANSLATE($C83, ""en"",""tr"")"),"Kara para aklama")</f>
        <v>Kara para aklama</v>
      </c>
      <c r="H83" s="4">
        <v>1.58</v>
      </c>
    </row>
    <row r="84" spans="1:8" x14ac:dyDescent="0.3">
      <c r="A84" s="2">
        <v>82</v>
      </c>
      <c r="B84" s="2" t="s">
        <v>175</v>
      </c>
      <c r="C84" s="2" t="s">
        <v>176</v>
      </c>
      <c r="D84" s="2">
        <v>3.92</v>
      </c>
      <c r="E84" s="4">
        <v>82</v>
      </c>
      <c r="F84" s="5" t="s">
        <v>175</v>
      </c>
      <c r="G84" s="4" t="str">
        <f ca="1">IFERROR(__xludf.DUMMYFUNCTION("GOOGLETRANSLATE($C84, ""en"",""tr"")"),"Google Deepmind")</f>
        <v>Google Deepmind</v>
      </c>
      <c r="H84" s="4">
        <v>3.92</v>
      </c>
    </row>
    <row r="85" spans="1:8" x14ac:dyDescent="0.3">
      <c r="A85" s="2">
        <v>83</v>
      </c>
      <c r="B85" s="2" t="s">
        <v>177</v>
      </c>
      <c r="C85" s="2" t="s">
        <v>178</v>
      </c>
      <c r="D85" s="2">
        <v>1.67</v>
      </c>
      <c r="E85" s="4">
        <v>83</v>
      </c>
      <c r="F85" s="4" t="str">
        <f ca="1">IFERROR(__xludf.DUMMYFUNCTION("GOOGLETRANSLATE($B85, ""en"",""tr"")"),"satranç")</f>
        <v>satranç</v>
      </c>
      <c r="G85" s="5" t="s">
        <v>179</v>
      </c>
      <c r="H85" s="4">
        <v>1.67</v>
      </c>
    </row>
    <row r="86" spans="1:8" x14ac:dyDescent="0.3">
      <c r="A86" s="2">
        <v>84</v>
      </c>
      <c r="B86" s="2" t="s">
        <v>180</v>
      </c>
      <c r="C86" s="2" t="s">
        <v>181</v>
      </c>
      <c r="D86" s="2">
        <v>1.33</v>
      </c>
      <c r="E86" s="4">
        <v>84</v>
      </c>
      <c r="F86" s="4" t="str">
        <f ca="1">IFERROR(__xludf.DUMMYFUNCTION("GOOGLETRANSLATE($B86, ""en"",""tr"")"),"sone")</f>
        <v>sone</v>
      </c>
      <c r="G86" s="4" t="str">
        <f ca="1">IFERROR(__xludf.DUMMYFUNCTION("GOOGLETRANSLATE($C86, ""en"",""tr"")"),"güzellik")</f>
        <v>güzellik</v>
      </c>
      <c r="H86" s="4">
        <v>1.33</v>
      </c>
    </row>
    <row r="87" spans="1:8" x14ac:dyDescent="0.3">
      <c r="A87" s="2">
        <v>85</v>
      </c>
      <c r="B87" s="2" t="s">
        <v>182</v>
      </c>
      <c r="C87" s="2" t="s">
        <v>183</v>
      </c>
      <c r="D87" s="2">
        <v>1.75</v>
      </c>
      <c r="E87" s="4">
        <v>85</v>
      </c>
      <c r="F87" s="5" t="s">
        <v>184</v>
      </c>
      <c r="G87" s="4" t="str">
        <f ca="1">IFERROR(__xludf.DUMMYFUNCTION("GOOGLETRANSLATE($C87, ""en"",""tr"")"),"ofis")</f>
        <v>ofis</v>
      </c>
      <c r="H87" s="4">
        <v>1.75</v>
      </c>
    </row>
    <row r="88" spans="1:8" x14ac:dyDescent="0.3">
      <c r="A88" s="2">
        <v>86</v>
      </c>
      <c r="B88" s="2" t="s">
        <v>185</v>
      </c>
      <c r="C88" s="2" t="s">
        <v>186</v>
      </c>
      <c r="D88" s="2">
        <v>1.67</v>
      </c>
      <c r="E88" s="4">
        <v>86</v>
      </c>
      <c r="F88" s="4" t="str">
        <f ca="1">IFERROR(__xludf.DUMMYFUNCTION("GOOGLETRANSLATE($B88, ""en"",""tr"")"),"para birimi")</f>
        <v>para birimi</v>
      </c>
      <c r="G88" s="4" t="str">
        <f ca="1">IFERROR(__xludf.DUMMYFUNCTION("GOOGLETRANSLATE($C88, ""en"",""tr"")"),"değişme")</f>
        <v>değişme</v>
      </c>
      <c r="H88" s="4">
        <v>1.67</v>
      </c>
    </row>
    <row r="89" spans="1:8" x14ac:dyDescent="0.3">
      <c r="A89" s="2">
        <v>87</v>
      </c>
      <c r="B89" s="2" t="s">
        <v>187</v>
      </c>
      <c r="C89" s="2" t="s">
        <v>188</v>
      </c>
      <c r="D89" s="2">
        <v>3.08</v>
      </c>
      <c r="E89" s="4">
        <v>87</v>
      </c>
      <c r="F89" s="4" t="str">
        <f ca="1">IFERROR(__xludf.DUMMYFUNCTION("GOOGLETRANSLATE($B89, ""en"",""tr"")"),"polyester")</f>
        <v>polyester</v>
      </c>
      <c r="G89" s="4" t="str">
        <f ca="1">IFERROR(__xludf.DUMMYFUNCTION("GOOGLETRANSLATE($C89, ""en"",""tr"")"),"pamuk")</f>
        <v>pamuk</v>
      </c>
      <c r="H89" s="4">
        <v>3.08</v>
      </c>
    </row>
    <row r="90" spans="1:8" x14ac:dyDescent="0.3">
      <c r="A90" s="2">
        <v>88</v>
      </c>
      <c r="B90" s="2" t="s">
        <v>189</v>
      </c>
      <c r="C90" s="2" t="s">
        <v>190</v>
      </c>
      <c r="D90" s="2">
        <v>2.5</v>
      </c>
      <c r="E90" s="4">
        <v>88</v>
      </c>
      <c r="F90" s="4" t="str">
        <f ca="1">IFERROR(__xludf.DUMMYFUNCTION("GOOGLETRANSLATE($B90, ""en"",""tr"")"),"mahkeme")</f>
        <v>mahkeme</v>
      </c>
      <c r="G90" s="4" t="str">
        <f ca="1">IFERROR(__xludf.DUMMYFUNCTION("GOOGLETRANSLATE($C90, ""en"",""tr"")"),"adalet")</f>
        <v>adalet</v>
      </c>
      <c r="H90" s="4">
        <v>2.5</v>
      </c>
    </row>
    <row r="91" spans="1:8" x14ac:dyDescent="0.3">
      <c r="A91" s="2">
        <v>89</v>
      </c>
      <c r="B91" s="2" t="s">
        <v>191</v>
      </c>
      <c r="C91" s="2" t="s">
        <v>192</v>
      </c>
      <c r="D91" s="2">
        <v>3.25</v>
      </c>
      <c r="E91" s="4">
        <v>89</v>
      </c>
      <c r="F91" s="4" t="str">
        <f ca="1">IFERROR(__xludf.DUMMYFUNCTION("GOOGLETRANSLATE($B91, ""en"",""tr"")"),"kuyruk")</f>
        <v>kuyruk</v>
      </c>
      <c r="G91" s="4" t="str">
        <f ca="1">IFERROR(__xludf.DUMMYFUNCTION("GOOGLETRANSLATE($C91, ""en"",""tr"")"),"arka")</f>
        <v>arka</v>
      </c>
      <c r="H91" s="4">
        <v>3.25</v>
      </c>
    </row>
    <row r="92" spans="1:8" x14ac:dyDescent="0.3">
      <c r="A92" s="2">
        <v>90</v>
      </c>
      <c r="B92" s="2" t="s">
        <v>193</v>
      </c>
      <c r="C92" s="2" t="s">
        <v>194</v>
      </c>
      <c r="D92" s="2">
        <v>0</v>
      </c>
      <c r="E92" s="4">
        <v>90</v>
      </c>
      <c r="F92" s="4" t="str">
        <f ca="1">IFERROR(__xludf.DUMMYFUNCTION("GOOGLETRANSLATE($B92, ""en"",""tr"")"),"kaza")</f>
        <v>kaza</v>
      </c>
      <c r="G92" s="4" t="str">
        <f ca="1">IFERROR(__xludf.DUMMYFUNCTION("GOOGLETRANSLATE($C92, ""en"",""tr"")"),"kitap")</f>
        <v>kitap</v>
      </c>
      <c r="H92" s="4">
        <v>0</v>
      </c>
    </row>
    <row r="93" spans="1:8" x14ac:dyDescent="0.3">
      <c r="A93" s="2">
        <v>91</v>
      </c>
      <c r="B93" s="2" t="s">
        <v>195</v>
      </c>
      <c r="C93" s="2" t="s">
        <v>196</v>
      </c>
      <c r="D93" s="2">
        <v>2.75</v>
      </c>
      <c r="E93" s="4">
        <v>91</v>
      </c>
      <c r="F93" s="4" t="str">
        <f ca="1">IFERROR(__xludf.DUMMYFUNCTION("GOOGLETRANSLATE($B93, ""en"",""tr"")"),"fırtına")</f>
        <v>fırtına</v>
      </c>
      <c r="G93" s="4" t="str">
        <f ca="1">IFERROR(__xludf.DUMMYFUNCTION("GOOGLETRANSLATE($C93, ""en"",""tr"")"),"rüzgâr")</f>
        <v>rüzgâr</v>
      </c>
      <c r="H93" s="4">
        <v>2.75</v>
      </c>
    </row>
    <row r="94" spans="1:8" x14ac:dyDescent="0.3">
      <c r="A94" s="2">
        <v>92</v>
      </c>
      <c r="B94" s="2" t="s">
        <v>197</v>
      </c>
      <c r="C94" s="2" t="s">
        <v>198</v>
      </c>
      <c r="D94" s="2">
        <v>1.58</v>
      </c>
      <c r="E94" s="4">
        <v>92</v>
      </c>
      <c r="F94" s="4" t="str">
        <f ca="1">IFERROR(__xludf.DUMMYFUNCTION("GOOGLETRANSLATE($B94, ""en"",""tr"")"),"piyano")</f>
        <v>piyano</v>
      </c>
      <c r="G94" s="4" t="str">
        <f ca="1">IFERROR(__xludf.DUMMYFUNCTION("GOOGLETRANSLATE($C94, ""en"",""tr"")"),"uyum")</f>
        <v>uyum</v>
      </c>
      <c r="H94" s="4">
        <v>1.58</v>
      </c>
    </row>
    <row r="95" spans="1:8" x14ac:dyDescent="0.3">
      <c r="A95" s="2">
        <v>93</v>
      </c>
      <c r="B95" s="2" t="s">
        <v>199</v>
      </c>
      <c r="C95" s="2" t="s">
        <v>200</v>
      </c>
      <c r="D95" s="2">
        <v>1.5</v>
      </c>
      <c r="E95" s="4">
        <v>93</v>
      </c>
      <c r="F95" s="4" t="str">
        <f ca="1">IFERROR(__xludf.DUMMYFUNCTION("GOOGLETRANSLATE($B95, ""en"",""tr"")"),"sultan")</f>
        <v>sultan</v>
      </c>
      <c r="G95" s="4" t="str">
        <f ca="1">IFERROR(__xludf.DUMMYFUNCTION("GOOGLETRANSLATE($C95, ""en"",""tr"")"),"bakanlık")</f>
        <v>bakanlık</v>
      </c>
      <c r="H95" s="4">
        <v>1.5</v>
      </c>
    </row>
    <row r="96" spans="1:8" x14ac:dyDescent="0.3">
      <c r="A96" s="2">
        <v>94</v>
      </c>
      <c r="B96" s="2" t="s">
        <v>201</v>
      </c>
      <c r="C96" s="2" t="s">
        <v>202</v>
      </c>
      <c r="D96" s="2">
        <v>2.42</v>
      </c>
      <c r="E96" s="4">
        <v>94</v>
      </c>
      <c r="F96" s="4" t="str">
        <f ca="1">IFERROR(__xludf.DUMMYFUNCTION("GOOGLETRANSLATE($B96, ""en"",""tr"")"),"çöl")</f>
        <v>çöl</v>
      </c>
      <c r="G96" s="4" t="str">
        <f ca="1">IFERROR(__xludf.DUMMYFUNCTION("GOOGLETRANSLATE($C96, ""en"",""tr"")"),"kumdan tepe")</f>
        <v>kumdan tepe</v>
      </c>
      <c r="H96" s="4">
        <v>2.42</v>
      </c>
    </row>
    <row r="97" spans="1:8" x14ac:dyDescent="0.3">
      <c r="A97" s="2">
        <v>95</v>
      </c>
      <c r="B97" s="2" t="s">
        <v>203</v>
      </c>
      <c r="C97" s="2" t="s">
        <v>204</v>
      </c>
      <c r="D97" s="2">
        <v>2.67</v>
      </c>
      <c r="E97" s="4">
        <v>95</v>
      </c>
      <c r="F97" s="4" t="str">
        <f ca="1">IFERROR(__xludf.DUMMYFUNCTION("GOOGLETRANSLATE($B97, ""en"",""tr"")"),"çarpma işlemi")</f>
        <v>çarpma işlemi</v>
      </c>
      <c r="G97" s="4" t="str">
        <f ca="1">IFERROR(__xludf.DUMMYFUNCTION("GOOGLETRANSLATE($C97, ""en"",""tr"")"),"bölüm")</f>
        <v>bölüm</v>
      </c>
      <c r="H97" s="4">
        <v>2.67</v>
      </c>
    </row>
    <row r="98" spans="1:8" x14ac:dyDescent="0.3">
      <c r="A98" s="2">
        <v>96</v>
      </c>
      <c r="B98" s="2" t="s">
        <v>205</v>
      </c>
      <c r="C98" s="2" t="s">
        <v>206</v>
      </c>
      <c r="D98" s="2">
        <v>1.58</v>
      </c>
      <c r="E98" s="4">
        <v>96</v>
      </c>
      <c r="F98" s="4" t="str">
        <f ca="1">IFERROR(__xludf.DUMMYFUNCTION("GOOGLETRANSLATE($B98, ""en"",""tr"")"),"virüs")</f>
        <v>virüs</v>
      </c>
      <c r="G98" s="4" t="str">
        <f ca="1">IFERROR(__xludf.DUMMYFUNCTION("GOOGLETRANSLATE($C98, ""en"",""tr"")"),"kan")</f>
        <v>kan</v>
      </c>
      <c r="H98" s="4">
        <v>1.58</v>
      </c>
    </row>
    <row r="99" spans="1:8" x14ac:dyDescent="0.3">
      <c r="A99" s="2">
        <v>97</v>
      </c>
      <c r="B99" s="2" t="s">
        <v>207</v>
      </c>
      <c r="C99" s="2" t="s">
        <v>208</v>
      </c>
      <c r="D99" s="2">
        <v>0</v>
      </c>
      <c r="E99" s="4">
        <v>97</v>
      </c>
      <c r="F99" s="4" t="str">
        <f ca="1">IFERROR(__xludf.DUMMYFUNCTION("GOOGLETRANSLATE($B99, ""en"",""tr"")"),"buz Devri")</f>
        <v>buz Devri</v>
      </c>
      <c r="G99" s="4" t="str">
        <f ca="1">IFERROR(__xludf.DUMMYFUNCTION("GOOGLETRANSLATE($C99, ""en"",""tr"")"),"tüzük")</f>
        <v>tüzük</v>
      </c>
      <c r="H99" s="4">
        <v>0</v>
      </c>
    </row>
    <row r="100" spans="1:8" x14ac:dyDescent="0.3">
      <c r="A100" s="2">
        <v>98</v>
      </c>
      <c r="B100" s="2" t="s">
        <v>209</v>
      </c>
      <c r="C100" s="2" t="s">
        <v>210</v>
      </c>
      <c r="D100" s="2">
        <v>0</v>
      </c>
      <c r="E100" s="4">
        <v>98</v>
      </c>
      <c r="F100" s="4" t="str">
        <f ca="1">IFERROR(__xludf.DUMMYFUNCTION("GOOGLETRANSLATE($B100, ""en"",""tr"")"),"kılıç")</f>
        <v>kılıç</v>
      </c>
      <c r="G100" s="4" t="str">
        <f ca="1">IFERROR(__xludf.DUMMYFUNCTION("GOOGLETRANSLATE($C100, ""en"",""tr"")"),"çevre")</f>
        <v>çevre</v>
      </c>
      <c r="H100" s="4">
        <v>0</v>
      </c>
    </row>
    <row r="101" spans="1:8" x14ac:dyDescent="0.3">
      <c r="A101" s="2">
        <v>99</v>
      </c>
      <c r="B101" s="2" t="s">
        <v>211</v>
      </c>
      <c r="C101" s="2" t="s">
        <v>152</v>
      </c>
      <c r="D101" s="2">
        <v>1.5</v>
      </c>
      <c r="E101" s="4">
        <v>99</v>
      </c>
      <c r="F101" s="4" t="str">
        <f ca="1">IFERROR(__xludf.DUMMYFUNCTION("GOOGLETRANSLATE($B101, ""en"",""tr"")"),"ilkokul")</f>
        <v>ilkokul</v>
      </c>
      <c r="G101" s="4" t="str">
        <f ca="1">IFERROR(__xludf.DUMMYFUNCTION("GOOGLETRANSLATE($C101, ""en"",""tr"")"),"dolma kalem")</f>
        <v>dolma kalem</v>
      </c>
      <c r="H101" s="4">
        <v>1.5</v>
      </c>
    </row>
    <row r="102" spans="1:8" x14ac:dyDescent="0.3">
      <c r="A102" s="2">
        <v>100</v>
      </c>
      <c r="B102" s="2" t="s">
        <v>212</v>
      </c>
      <c r="C102" s="2" t="s">
        <v>213</v>
      </c>
      <c r="D102" s="2">
        <v>1.67</v>
      </c>
      <c r="E102" s="4">
        <v>100</v>
      </c>
      <c r="F102" s="4" t="str">
        <f ca="1">IFERROR(__xludf.DUMMYFUNCTION("GOOGLETRANSLATE($B102, ""en"",""tr"")"),"kriket")</f>
        <v>kriket</v>
      </c>
      <c r="G102" s="4" t="str">
        <f ca="1">IFERROR(__xludf.DUMMYFUNCTION("GOOGLETRANSLATE($C102, ""en"",""tr"")"),"destekçi")</f>
        <v>destekçi</v>
      </c>
      <c r="H102" s="4">
        <v>1.67</v>
      </c>
    </row>
    <row r="103" spans="1:8" x14ac:dyDescent="0.3">
      <c r="A103" s="2">
        <v>101</v>
      </c>
      <c r="B103" s="2" t="s">
        <v>214</v>
      </c>
      <c r="C103" s="2" t="s">
        <v>215</v>
      </c>
      <c r="D103" s="2">
        <v>3.83</v>
      </c>
      <c r="E103" s="4">
        <v>101</v>
      </c>
      <c r="F103" s="4" t="str">
        <f ca="1">IFERROR(__xludf.DUMMYFUNCTION("GOOGLETRANSLATE($B103, ""en"",""tr"")"),"heykel")</f>
        <v>heykel</v>
      </c>
      <c r="G103" s="4" t="str">
        <f ca="1">IFERROR(__xludf.DUMMYFUNCTION("GOOGLETRANSLATE($C103, ""en"",""tr"")"),"heykel")</f>
        <v>heykel</v>
      </c>
      <c r="H103" s="4">
        <v>3.83</v>
      </c>
    </row>
    <row r="104" spans="1:8" x14ac:dyDescent="0.3">
      <c r="A104" s="2">
        <v>102</v>
      </c>
      <c r="B104" s="2" t="s">
        <v>216</v>
      </c>
      <c r="C104" s="2" t="s">
        <v>217</v>
      </c>
      <c r="D104" s="2">
        <v>3.58</v>
      </c>
      <c r="E104" s="4">
        <v>102</v>
      </c>
      <c r="F104" s="4" t="str">
        <f ca="1">IFERROR(__xludf.DUMMYFUNCTION("GOOGLETRANSLATE($B104, ""en"",""tr"")"),"internet tarayıcısı")</f>
        <v>internet tarayıcısı</v>
      </c>
      <c r="G104" s="4" t="str">
        <f ca="1">IFERROR(__xludf.DUMMYFUNCTION("GOOGLETRANSLATE($C104, ""en"",""tr"")"),"Mozilla Firefox")</f>
        <v>Mozilla Firefox</v>
      </c>
      <c r="H104" s="4">
        <v>3.58</v>
      </c>
    </row>
    <row r="105" spans="1:8" x14ac:dyDescent="0.3">
      <c r="A105" s="2">
        <v>103</v>
      </c>
      <c r="B105" s="2" t="s">
        <v>218</v>
      </c>
      <c r="C105" s="2" t="s">
        <v>219</v>
      </c>
      <c r="D105" s="2">
        <v>0</v>
      </c>
      <c r="E105" s="4">
        <v>103</v>
      </c>
      <c r="F105" s="5" t="s">
        <v>220</v>
      </c>
      <c r="G105" s="4" t="str">
        <f ca="1">IFERROR(__xludf.DUMMYFUNCTION("GOOGLETRANSLATE($C105, ""en"",""tr"")"),"Kanon")</f>
        <v>Kanon</v>
      </c>
      <c r="H105" s="4">
        <v>0</v>
      </c>
    </row>
    <row r="106" spans="1:8" x14ac:dyDescent="0.3">
      <c r="A106" s="2">
        <v>104</v>
      </c>
      <c r="B106" s="2" t="s">
        <v>221</v>
      </c>
      <c r="C106" s="2" t="s">
        <v>222</v>
      </c>
      <c r="D106" s="2">
        <v>1.67</v>
      </c>
      <c r="E106" s="4">
        <v>104</v>
      </c>
      <c r="F106" s="4" t="str">
        <f ca="1">IFERROR(__xludf.DUMMYFUNCTION("GOOGLETRANSLATE($B106, ""en"",""tr"")"),"HSBC")</f>
        <v>HSBC</v>
      </c>
      <c r="G106" s="4" t="str">
        <f ca="1">IFERROR(__xludf.DUMMYFUNCTION("GOOGLETRANSLATE($C106, ""en"",""tr"")"),"Britanya")</f>
        <v>Britanya</v>
      </c>
      <c r="H106" s="4">
        <v>1.67</v>
      </c>
    </row>
    <row r="107" spans="1:8" x14ac:dyDescent="0.3">
      <c r="A107" s="2">
        <v>105</v>
      </c>
      <c r="B107" s="2" t="s">
        <v>223</v>
      </c>
      <c r="C107" s="2" t="s">
        <v>224</v>
      </c>
      <c r="D107" s="2">
        <v>3.08</v>
      </c>
      <c r="E107" s="4">
        <v>105</v>
      </c>
      <c r="F107" s="5" t="s">
        <v>225</v>
      </c>
      <c r="G107" s="4" t="str">
        <f ca="1">IFERROR(__xludf.DUMMYFUNCTION("GOOGLETRANSLATE($C107, ""en"",""tr"")"),"Müjde")</f>
        <v>Müjde</v>
      </c>
      <c r="H107" s="4">
        <v>3.08</v>
      </c>
    </row>
    <row r="108" spans="1:8" x14ac:dyDescent="0.3">
      <c r="A108" s="2">
        <v>106</v>
      </c>
      <c r="B108" s="2" t="s">
        <v>226</v>
      </c>
      <c r="C108" s="2" t="s">
        <v>227</v>
      </c>
      <c r="D108" s="2">
        <v>1</v>
      </c>
      <c r="E108" s="4">
        <v>106</v>
      </c>
      <c r="F108" s="4" t="str">
        <f ca="1">IFERROR(__xludf.DUMMYFUNCTION("GOOGLETRANSLATE($B108, ""en"",""tr"")"),"elbise")</f>
        <v>elbise</v>
      </c>
      <c r="G108" s="4" t="str">
        <f ca="1">IFERROR(__xludf.DUMMYFUNCTION("GOOGLETRANSLATE($C108, ""en"",""tr"")"),"dans")</f>
        <v>dans</v>
      </c>
      <c r="H108" s="4">
        <v>1</v>
      </c>
    </row>
    <row r="109" spans="1:8" x14ac:dyDescent="0.3">
      <c r="A109" s="2">
        <v>107</v>
      </c>
      <c r="B109" s="2" t="s">
        <v>228</v>
      </c>
      <c r="C109" s="2" t="s">
        <v>229</v>
      </c>
      <c r="D109" s="2">
        <v>3.92</v>
      </c>
      <c r="E109" s="4">
        <v>107</v>
      </c>
      <c r="F109" s="4" t="str">
        <f ca="1">IFERROR(__xludf.DUMMYFUNCTION("GOOGLETRANSLATE($B109, ""en"",""tr"")"),"sıralamak")</f>
        <v>sıralamak</v>
      </c>
      <c r="G109" s="4" t="str">
        <f ca="1">IFERROR(__xludf.DUMMYFUNCTION("GOOGLETRANSLATE($C109, ""en"",""tr"")"),"liste")</f>
        <v>liste</v>
      </c>
      <c r="H109" s="4">
        <v>3.92</v>
      </c>
    </row>
    <row r="110" spans="1:8" x14ac:dyDescent="0.3">
      <c r="A110" s="2">
        <v>108</v>
      </c>
      <c r="B110" s="2" t="s">
        <v>230</v>
      </c>
      <c r="C110" s="2" t="s">
        <v>231</v>
      </c>
      <c r="D110" s="2">
        <v>3.5</v>
      </c>
      <c r="E110" s="4">
        <v>108</v>
      </c>
      <c r="F110" s="4" t="str">
        <f ca="1">IFERROR(__xludf.DUMMYFUNCTION("GOOGLETRANSLATE($B110, ""en"",""tr"")"),"hücre")</f>
        <v>hücre</v>
      </c>
      <c r="G110" s="4" t="str">
        <f ca="1">IFERROR(__xludf.DUMMYFUNCTION("GOOGLETRANSLATE($C110, ""en"",""tr"")"),"kilitlemek")</f>
        <v>kilitlemek</v>
      </c>
      <c r="H110" s="4">
        <v>3.5</v>
      </c>
    </row>
    <row r="111" spans="1:8" x14ac:dyDescent="0.3">
      <c r="A111" s="2">
        <v>109</v>
      </c>
      <c r="B111" s="2" t="s">
        <v>232</v>
      </c>
      <c r="C111" s="2" t="s">
        <v>233</v>
      </c>
      <c r="D111" s="2">
        <v>2.5</v>
      </c>
      <c r="E111" s="4">
        <v>109</v>
      </c>
      <c r="F111" s="4" t="str">
        <f ca="1">IFERROR(__xludf.DUMMYFUNCTION("GOOGLETRANSLATE($B111, ""en"",""tr"")"),"makale")</f>
        <v>makale</v>
      </c>
      <c r="G111" s="5" t="s">
        <v>234</v>
      </c>
      <c r="H111" s="4">
        <v>2.5</v>
      </c>
    </row>
    <row r="112" spans="1:8" x14ac:dyDescent="0.3">
      <c r="A112" s="2">
        <v>110</v>
      </c>
      <c r="B112" s="2" t="s">
        <v>235</v>
      </c>
      <c r="C112" s="2" t="s">
        <v>236</v>
      </c>
      <c r="D112" s="2">
        <v>3.33</v>
      </c>
      <c r="E112" s="4">
        <v>110</v>
      </c>
      <c r="F112" s="4" t="str">
        <f ca="1">IFERROR(__xludf.DUMMYFUNCTION("GOOGLETRANSLATE($B112, ""en"",""tr"")"),"bilgisayar")</f>
        <v>bilgisayar</v>
      </c>
      <c r="G112" s="4" t="str">
        <f ca="1">IFERROR(__xludf.DUMMYFUNCTION("GOOGLETRANSLATE($C112, ""en"",""tr"")"),"makine")</f>
        <v>makine</v>
      </c>
      <c r="H112" s="4">
        <v>3.33</v>
      </c>
    </row>
    <row r="113" spans="1:8" x14ac:dyDescent="0.3">
      <c r="A113" s="2">
        <v>111</v>
      </c>
      <c r="B113" s="2" t="s">
        <v>237</v>
      </c>
      <c r="C113" s="2" t="s">
        <v>238</v>
      </c>
      <c r="D113" s="2">
        <v>3.25</v>
      </c>
      <c r="E113" s="4">
        <v>111</v>
      </c>
      <c r="F113" s="4" t="str">
        <f ca="1">IFERROR(__xludf.DUMMYFUNCTION("GOOGLETRANSLATE($B113, ""en"",""tr"")"),"panda")</f>
        <v>panda</v>
      </c>
      <c r="G113" s="4" t="str">
        <f ca="1">IFERROR(__xludf.DUMMYFUNCTION("GOOGLETRANSLATE($C113, ""en"",""tr"")"),"kutup ayısı")</f>
        <v>kutup ayısı</v>
      </c>
      <c r="H113" s="4">
        <v>3.25</v>
      </c>
    </row>
    <row r="114" spans="1:8" x14ac:dyDescent="0.3">
      <c r="A114" s="2">
        <v>112</v>
      </c>
      <c r="B114" s="2" t="s">
        <v>239</v>
      </c>
      <c r="C114" s="2" t="s">
        <v>240</v>
      </c>
      <c r="D114" s="2">
        <v>1.75</v>
      </c>
      <c r="E114" s="4">
        <v>112</v>
      </c>
      <c r="F114" s="4" t="str">
        <f ca="1">IFERROR(__xludf.DUMMYFUNCTION("GOOGLETRANSLATE($B114, ""en"",""tr"")"),"nevroz")</f>
        <v>nevroz</v>
      </c>
      <c r="G114" s="4" t="str">
        <f ca="1">IFERROR(__xludf.DUMMYFUNCTION("GOOGLETRANSLATE($C114, ""en"",""tr"")"),"akıl")</f>
        <v>akıl</v>
      </c>
      <c r="H114" s="4">
        <v>1.75</v>
      </c>
    </row>
    <row r="115" spans="1:8" x14ac:dyDescent="0.3">
      <c r="A115" s="2">
        <v>113</v>
      </c>
      <c r="B115" s="2" t="s">
        <v>241</v>
      </c>
      <c r="C115" s="2" t="s">
        <v>242</v>
      </c>
      <c r="D115" s="2">
        <v>0</v>
      </c>
      <c r="E115" s="4">
        <v>113</v>
      </c>
      <c r="F115" s="4" t="str">
        <f ca="1">IFERROR(__xludf.DUMMYFUNCTION("GOOGLETRANSLATE($B115, ""en"",""tr"")"),"kampanya")</f>
        <v>kampanya</v>
      </c>
      <c r="G115" s="4" t="str">
        <f ca="1">IFERROR(__xludf.DUMMYFUNCTION("GOOGLETRANSLATE($C115, ""en"",""tr"")"),"maymun")</f>
        <v>maymun</v>
      </c>
      <c r="H115" s="4">
        <v>0</v>
      </c>
    </row>
    <row r="116" spans="1:8" x14ac:dyDescent="0.3">
      <c r="A116" s="2">
        <v>114</v>
      </c>
      <c r="B116" s="2" t="s">
        <v>243</v>
      </c>
      <c r="C116" s="2" t="s">
        <v>244</v>
      </c>
      <c r="D116" s="2">
        <v>0</v>
      </c>
      <c r="E116" s="4">
        <v>114</v>
      </c>
      <c r="F116" s="4" t="str">
        <f ca="1">IFERROR(__xludf.DUMMYFUNCTION("GOOGLETRANSLATE($B116, ""en"",""tr"")"),"Faraday sabiti")</f>
        <v>Faraday sabiti</v>
      </c>
      <c r="G116" s="4" t="str">
        <f ca="1">IFERROR(__xludf.DUMMYFUNCTION("GOOGLETRANSLATE($C116, ""en"",""tr"")"),"sırt çantası")</f>
        <v>sırt çantası</v>
      </c>
      <c r="H116" s="4">
        <v>0</v>
      </c>
    </row>
    <row r="117" spans="1:8" x14ac:dyDescent="0.3">
      <c r="A117" s="2">
        <v>115</v>
      </c>
      <c r="B117" s="2" t="s">
        <v>245</v>
      </c>
      <c r="C117" s="2" t="s">
        <v>246</v>
      </c>
      <c r="D117" s="2">
        <v>2.33</v>
      </c>
      <c r="E117" s="4">
        <v>115</v>
      </c>
      <c r="F117" s="4" t="str">
        <f ca="1">IFERROR(__xludf.DUMMYFUNCTION("GOOGLETRANSLATE($B117, ""en"",""tr"")"),"Saray")</f>
        <v>Saray</v>
      </c>
      <c r="G117" s="4" t="str">
        <f ca="1">IFERROR(__xludf.DUMMYFUNCTION("GOOGLETRANSLATE($C117, ""en"",""tr"")"),"gökdelen")</f>
        <v>gökdelen</v>
      </c>
      <c r="H117" s="4">
        <v>2.33</v>
      </c>
    </row>
    <row r="118" spans="1:8" x14ac:dyDescent="0.3">
      <c r="A118" s="2">
        <v>116</v>
      </c>
      <c r="B118" s="2" t="s">
        <v>247</v>
      </c>
      <c r="C118" s="2" t="s">
        <v>248</v>
      </c>
      <c r="D118" s="2">
        <v>3</v>
      </c>
      <c r="E118" s="4">
        <v>116</v>
      </c>
      <c r="F118" s="4" t="str">
        <f ca="1">IFERROR(__xludf.DUMMYFUNCTION("GOOGLETRANSLATE($B118, ""en"",""tr"")"),"helikopter")</f>
        <v>helikopter</v>
      </c>
      <c r="G118" s="4" t="str">
        <f ca="1">IFERROR(__xludf.DUMMYFUNCTION("GOOGLETRANSLATE($C118, ""en"",""tr"")"),"uçak")</f>
        <v>uçak</v>
      </c>
      <c r="H118" s="4">
        <v>3</v>
      </c>
    </row>
    <row r="119" spans="1:8" x14ac:dyDescent="0.3">
      <c r="A119" s="2">
        <v>117</v>
      </c>
      <c r="B119" s="2" t="s">
        <v>249</v>
      </c>
      <c r="C119" s="2" t="s">
        <v>250</v>
      </c>
      <c r="D119" s="2">
        <v>3.25</v>
      </c>
      <c r="E119" s="4">
        <v>117</v>
      </c>
      <c r="F119" s="4" t="str">
        <f ca="1">IFERROR(__xludf.DUMMYFUNCTION("GOOGLETRANSLATE($B119, ""en"",""tr"")"),"Cambridge Üniversitesi")</f>
        <v>Cambridge Üniversitesi</v>
      </c>
      <c r="G119" s="4" t="str">
        <f ca="1">IFERROR(__xludf.DUMMYFUNCTION("GOOGLETRANSLATE($C119, ""en"",""tr"")"),"Oxford Üniversitesi")</f>
        <v>Oxford Üniversitesi</v>
      </c>
      <c r="H119" s="4">
        <v>3.25</v>
      </c>
    </row>
    <row r="120" spans="1:8" x14ac:dyDescent="0.3">
      <c r="A120" s="2">
        <v>118</v>
      </c>
      <c r="B120" s="2" t="s">
        <v>251</v>
      </c>
      <c r="C120" s="2" t="s">
        <v>252</v>
      </c>
      <c r="D120" s="2">
        <v>1.42</v>
      </c>
      <c r="E120" s="4">
        <v>118</v>
      </c>
      <c r="F120" s="4" t="str">
        <f ca="1">IFERROR(__xludf.DUMMYFUNCTION("GOOGLETRANSLATE($B120, ""en"",""tr"")"),"bayrak")</f>
        <v>bayrak</v>
      </c>
      <c r="G120" s="4" t="str">
        <f ca="1">IFERROR(__xludf.DUMMYFUNCTION("GOOGLETRANSLATE($C120, ""en"",""tr"")"),"kutup")</f>
        <v>kutup</v>
      </c>
      <c r="H120" s="4">
        <v>1.42</v>
      </c>
    </row>
    <row r="121" spans="1:8" x14ac:dyDescent="0.3">
      <c r="A121" s="2">
        <v>119</v>
      </c>
      <c r="B121" s="2" t="s">
        <v>253</v>
      </c>
      <c r="C121" s="2" t="s">
        <v>254</v>
      </c>
      <c r="D121" s="2">
        <v>2.33</v>
      </c>
      <c r="E121" s="4">
        <v>119</v>
      </c>
      <c r="F121" s="4" t="str">
        <f ca="1">IFERROR(__xludf.DUMMYFUNCTION("GOOGLETRANSLATE($B121, ""en"",""tr"")"),"pencere")</f>
        <v>pencere</v>
      </c>
      <c r="G121" s="4" t="str">
        <f ca="1">IFERROR(__xludf.DUMMYFUNCTION("GOOGLETRANSLATE($C121, ""en"",""tr"")"),"çatı")</f>
        <v>çatı</v>
      </c>
      <c r="H121" s="4">
        <v>2.33</v>
      </c>
    </row>
    <row r="122" spans="1:8" x14ac:dyDescent="0.3">
      <c r="A122" s="2">
        <v>120</v>
      </c>
      <c r="B122" s="2" t="s">
        <v>255</v>
      </c>
      <c r="C122" s="2" t="s">
        <v>256</v>
      </c>
      <c r="D122" s="2">
        <v>2.5</v>
      </c>
      <c r="E122" s="4">
        <v>120</v>
      </c>
      <c r="F122" s="4" t="str">
        <f ca="1">IFERROR(__xludf.DUMMYFUNCTION("GOOGLETRANSLATE($B122, ""en"",""tr"")"),"kart oyunu")</f>
        <v>kart oyunu</v>
      </c>
      <c r="G122" s="4" t="str">
        <f ca="1">IFERROR(__xludf.DUMMYFUNCTION("GOOGLETRANSLATE($C122, ""en"",""tr"")"),"frizbi")</f>
        <v>frizbi</v>
      </c>
      <c r="H122" s="4">
        <v>2.5</v>
      </c>
    </row>
    <row r="123" spans="1:8" x14ac:dyDescent="0.3">
      <c r="A123" s="2">
        <v>121</v>
      </c>
      <c r="B123" s="2" t="s">
        <v>257</v>
      </c>
      <c r="C123" s="2" t="s">
        <v>258</v>
      </c>
      <c r="D123" s="2">
        <v>3.42</v>
      </c>
      <c r="E123" s="4">
        <v>121</v>
      </c>
      <c r="F123" s="4" t="str">
        <f ca="1">IFERROR(__xludf.DUMMYFUNCTION("GOOGLETRANSLATE($B123, ""en"",""tr"")"),"kötü amaçlı yazılım")</f>
        <v>kötü amaçlı yazılım</v>
      </c>
      <c r="G123" s="4" t="str">
        <f ca="1">IFERROR(__xludf.DUMMYFUNCTION("GOOGLETRANSLATE($C123, ""en"",""tr"")"),"solucan")</f>
        <v>solucan</v>
      </c>
      <c r="H123" s="4">
        <v>3.42</v>
      </c>
    </row>
    <row r="124" spans="1:8" x14ac:dyDescent="0.3">
      <c r="A124" s="2">
        <v>122</v>
      </c>
      <c r="B124" s="2" t="s">
        <v>259</v>
      </c>
      <c r="C124" s="2" t="s">
        <v>260</v>
      </c>
      <c r="D124" s="2">
        <v>2.58</v>
      </c>
      <c r="E124" s="4">
        <v>122</v>
      </c>
      <c r="F124" s="4" t="str">
        <f ca="1">IFERROR(__xludf.DUMMYFUNCTION("GOOGLETRANSLATE($B124, ""en"",""tr"")"),"gezegen")</f>
        <v>gezegen</v>
      </c>
      <c r="G124" s="4" t="str">
        <f ca="1">IFERROR(__xludf.DUMMYFUNCTION("GOOGLETRANSLATE($C124, ""en"",""tr"")"),"yıldız")</f>
        <v>yıldız</v>
      </c>
      <c r="H124" s="4">
        <v>2.58</v>
      </c>
    </row>
    <row r="125" spans="1:8" x14ac:dyDescent="0.3">
      <c r="A125" s="2">
        <v>123</v>
      </c>
      <c r="B125" s="2" t="s">
        <v>261</v>
      </c>
      <c r="C125" s="2" t="s">
        <v>262</v>
      </c>
      <c r="D125" s="2">
        <v>3.42</v>
      </c>
      <c r="E125" s="4">
        <v>123</v>
      </c>
      <c r="F125" s="4" t="str">
        <f ca="1">IFERROR(__xludf.DUMMYFUNCTION("GOOGLETRANSLATE($B125, ""en"",""tr"")"),"koşucu")</f>
        <v>koşucu</v>
      </c>
      <c r="G125" s="4" t="str">
        <f ca="1">IFERROR(__xludf.DUMMYFUNCTION("GOOGLETRANSLATE($C125, ""en"",""tr"")"),"atlet")</f>
        <v>atlet</v>
      </c>
      <c r="H125" s="4">
        <v>3.42</v>
      </c>
    </row>
    <row r="126" spans="1:8" x14ac:dyDescent="0.3">
      <c r="A126" s="2">
        <v>124</v>
      </c>
      <c r="B126" s="2" t="s">
        <v>263</v>
      </c>
      <c r="C126" s="2" t="s">
        <v>264</v>
      </c>
      <c r="D126" s="2">
        <v>0</v>
      </c>
      <c r="E126" s="4">
        <v>124</v>
      </c>
      <c r="F126" s="4" t="str">
        <f ca="1">IFERROR(__xludf.DUMMYFUNCTION("GOOGLETRANSLATE($B126, ""en"",""tr"")"),"kalibre")</f>
        <v>kalibre</v>
      </c>
      <c r="G126" s="4" t="str">
        <f ca="1">IFERROR(__xludf.DUMMYFUNCTION("GOOGLETRANSLATE($C126, ""en"",""tr"")"),"şemsiye")</f>
        <v>şemsiye</v>
      </c>
      <c r="H126" s="4">
        <v>0</v>
      </c>
    </row>
    <row r="127" spans="1:8" x14ac:dyDescent="0.3">
      <c r="A127" s="2">
        <v>125</v>
      </c>
      <c r="B127" s="2" t="s">
        <v>265</v>
      </c>
      <c r="C127" s="2" t="s">
        <v>266</v>
      </c>
      <c r="D127" s="2">
        <v>0.5</v>
      </c>
      <c r="E127" s="4">
        <v>125</v>
      </c>
      <c r="F127" s="4" t="str">
        <f ca="1">IFERROR(__xludf.DUMMYFUNCTION("GOOGLETRANSLATE($B127, ""en"",""tr"")"),"Wifi")</f>
        <v>Wifi</v>
      </c>
      <c r="G127" s="4" t="str">
        <f ca="1">IFERROR(__xludf.DUMMYFUNCTION("GOOGLETRANSLATE($C127, ""en"",""tr"")"),"WikiLeaks")</f>
        <v>WikiLeaks</v>
      </c>
      <c r="H127" s="4">
        <v>0.5</v>
      </c>
    </row>
    <row r="128" spans="1:8" x14ac:dyDescent="0.3">
      <c r="A128" s="2">
        <v>126</v>
      </c>
      <c r="B128" s="2" t="s">
        <v>267</v>
      </c>
      <c r="C128" s="2" t="s">
        <v>268</v>
      </c>
      <c r="D128" s="2">
        <v>2</v>
      </c>
      <c r="E128" s="4">
        <v>126</v>
      </c>
      <c r="F128" s="4" t="str">
        <f ca="1">IFERROR(__xludf.DUMMYFUNCTION("GOOGLETRANSLATE($B128, ""en"",""tr"")"),"kuraklık")</f>
        <v>kuraklık</v>
      </c>
      <c r="G128" s="4" t="str">
        <f ca="1">IFERROR(__xludf.DUMMYFUNCTION("GOOGLETRANSLATE($C128, ""en"",""tr"")"),"su")</f>
        <v>su</v>
      </c>
      <c r="H128" s="4">
        <v>2</v>
      </c>
    </row>
    <row r="129" spans="1:8" x14ac:dyDescent="0.3">
      <c r="A129" s="2">
        <v>127</v>
      </c>
      <c r="B129" s="2" t="s">
        <v>269</v>
      </c>
      <c r="C129" s="2" t="s">
        <v>270</v>
      </c>
      <c r="D129" s="2">
        <v>0.08</v>
      </c>
      <c r="E129" s="4">
        <v>127</v>
      </c>
      <c r="F129" s="5" t="s">
        <v>271</v>
      </c>
      <c r="G129" s="4" t="str">
        <f ca="1">IFERROR(__xludf.DUMMYFUNCTION("GOOGLETRANSLATE($C129, ""en"",""tr"")"),"parça")</f>
        <v>parça</v>
      </c>
      <c r="H129" s="4">
        <v>0.08</v>
      </c>
    </row>
    <row r="130" spans="1:8" x14ac:dyDescent="0.3">
      <c r="A130" s="2">
        <v>128</v>
      </c>
      <c r="B130" s="2" t="s">
        <v>272</v>
      </c>
      <c r="C130" s="2" t="s">
        <v>273</v>
      </c>
      <c r="D130" s="2">
        <v>3.42</v>
      </c>
      <c r="E130" s="4">
        <v>128</v>
      </c>
      <c r="F130" s="4" t="str">
        <f ca="1">IFERROR(__xludf.DUMMYFUNCTION("GOOGLETRANSLATE($B130, ""en"",""tr"")"),"orkestra")</f>
        <v>orkestra</v>
      </c>
      <c r="G130" s="4" t="str">
        <f ca="1">IFERROR(__xludf.DUMMYFUNCTION("GOOGLETRANSLATE($C130, ""en"",""tr"")"),"bant")</f>
        <v>bant</v>
      </c>
      <c r="H130" s="4">
        <v>3.42</v>
      </c>
    </row>
    <row r="131" spans="1:8" x14ac:dyDescent="0.3">
      <c r="A131" s="2">
        <v>129</v>
      </c>
      <c r="B131" s="2" t="s">
        <v>274</v>
      </c>
      <c r="C131" s="2" t="s">
        <v>275</v>
      </c>
      <c r="D131" s="2">
        <v>4</v>
      </c>
      <c r="E131" s="4">
        <v>129</v>
      </c>
      <c r="F131" s="4" t="str">
        <f ca="1">IFERROR(__xludf.DUMMYFUNCTION("GOOGLETRANSLATE($B131, ""en"",""tr"")"),"Mojito")</f>
        <v>Mojito</v>
      </c>
      <c r="G131" s="4" t="str">
        <f ca="1">IFERROR(__xludf.DUMMYFUNCTION("GOOGLETRANSLATE($C131, ""en"",""tr"")"),"mohito")</f>
        <v>mohito</v>
      </c>
      <c r="H131" s="4">
        <v>4</v>
      </c>
    </row>
    <row r="132" spans="1:8" x14ac:dyDescent="0.3">
      <c r="A132" s="2">
        <v>130</v>
      </c>
      <c r="B132" s="2" t="s">
        <v>276</v>
      </c>
      <c r="C132" s="2" t="s">
        <v>277</v>
      </c>
      <c r="D132" s="2">
        <v>2.42</v>
      </c>
      <c r="E132" s="4">
        <v>130</v>
      </c>
      <c r="F132" s="4" t="str">
        <f ca="1">IFERROR(__xludf.DUMMYFUNCTION("GOOGLETRANSLATE($B132, ""en"",""tr"")"),"müfredat")</f>
        <v>müfredat</v>
      </c>
      <c r="G132" s="4" t="str">
        <f ca="1">IFERROR(__xludf.DUMMYFUNCTION("GOOGLETRANSLATE($C132, ""en"",""tr"")"),"sınav")</f>
        <v>sınav</v>
      </c>
      <c r="H132" s="4">
        <v>2.42</v>
      </c>
    </row>
    <row r="133" spans="1:8" x14ac:dyDescent="0.3">
      <c r="A133" s="2">
        <v>131</v>
      </c>
      <c r="B133" s="2" t="s">
        <v>278</v>
      </c>
      <c r="C133" s="2" t="s">
        <v>58</v>
      </c>
      <c r="D133" s="2">
        <v>2.42</v>
      </c>
      <c r="E133" s="4">
        <v>131</v>
      </c>
      <c r="F133" s="4" t="str">
        <f ca="1">IFERROR(__xludf.DUMMYFUNCTION("GOOGLETRANSLATE($B133, ""en"",""tr"")"),"teorem")</f>
        <v>teorem</v>
      </c>
      <c r="G133" s="4" t="str">
        <f ca="1">IFERROR(__xludf.DUMMYFUNCTION("GOOGLETRANSLATE($C133, ""en"",""tr"")"),"teori")</f>
        <v>teori</v>
      </c>
      <c r="H133" s="4">
        <v>2.42</v>
      </c>
    </row>
    <row r="134" spans="1:8" x14ac:dyDescent="0.3">
      <c r="A134" s="2">
        <v>132</v>
      </c>
      <c r="B134" s="2" t="s">
        <v>279</v>
      </c>
      <c r="C134" s="2" t="s">
        <v>280</v>
      </c>
      <c r="D134" s="2">
        <v>3</v>
      </c>
      <c r="E134" s="4">
        <v>132</v>
      </c>
      <c r="F134" s="4" t="str">
        <f ca="1">IFERROR(__xludf.DUMMYFUNCTION("GOOGLETRANSLATE($B134, ""en"",""tr"")"),"yo-yo")</f>
        <v>yo-yo</v>
      </c>
      <c r="G134" s="4" t="str">
        <f ca="1">IFERROR(__xludf.DUMMYFUNCTION("GOOGLETRANSLATE($C134, ""en"",""tr"")"),"oyuncak")</f>
        <v>oyuncak</v>
      </c>
      <c r="H134" s="4">
        <v>3</v>
      </c>
    </row>
    <row r="135" spans="1:8" x14ac:dyDescent="0.3">
      <c r="A135" s="2">
        <v>133</v>
      </c>
      <c r="B135" s="2" t="s">
        <v>281</v>
      </c>
      <c r="C135" s="2" t="s">
        <v>282</v>
      </c>
      <c r="D135" s="2">
        <v>2.58</v>
      </c>
      <c r="E135" s="4">
        <v>133</v>
      </c>
      <c r="F135" s="4" t="str">
        <f ca="1">IFERROR(__xludf.DUMMYFUNCTION("GOOGLETRANSLATE($B135, ""en"",""tr"")"),"kar fırtınası")</f>
        <v>kar fırtınası</v>
      </c>
      <c r="G135" s="4" t="str">
        <f ca="1">IFERROR(__xludf.DUMMYFUNCTION("GOOGLETRANSLATE($C135, ""en"",""tr"")"),"yağmur")</f>
        <v>yağmur</v>
      </c>
      <c r="H135" s="4">
        <v>2.58</v>
      </c>
    </row>
    <row r="136" spans="1:8" x14ac:dyDescent="0.3">
      <c r="A136" s="2">
        <v>134</v>
      </c>
      <c r="B136" s="2" t="s">
        <v>283</v>
      </c>
      <c r="C136" s="2" t="s">
        <v>284</v>
      </c>
      <c r="D136" s="2">
        <v>3.58</v>
      </c>
      <c r="E136" s="4">
        <v>134</v>
      </c>
      <c r="F136" s="5" t="s">
        <v>285</v>
      </c>
      <c r="G136" s="4" t="str">
        <f ca="1">IFERROR(__xludf.DUMMYFUNCTION("GOOGLETRANSLATE($C136, ""en"",""tr"")"),"tarihçi")</f>
        <v>tarihçi</v>
      </c>
      <c r="H136" s="4">
        <v>3.58</v>
      </c>
    </row>
    <row r="137" spans="1:8" x14ac:dyDescent="0.3">
      <c r="A137" s="2">
        <v>135</v>
      </c>
      <c r="B137" s="2" t="s">
        <v>286</v>
      </c>
      <c r="C137" s="2" t="s">
        <v>287</v>
      </c>
      <c r="D137" s="2">
        <v>1.75</v>
      </c>
      <c r="E137" s="4">
        <v>135</v>
      </c>
      <c r="F137" s="4" t="str">
        <f ca="1">IFERROR(__xludf.DUMMYFUNCTION("GOOGLETRANSLATE($B137, ""en"",""tr"")"),"Siemens")</f>
        <v>Siemens</v>
      </c>
      <c r="G137" s="4" t="str">
        <f ca="1">IFERROR(__xludf.DUMMYFUNCTION("GOOGLETRANSLATE($C137, ""en"",""tr"")"),"elektrikli tren")</f>
        <v>elektrikli tren</v>
      </c>
      <c r="H137" s="4">
        <v>1.75</v>
      </c>
    </row>
    <row r="138" spans="1:8" x14ac:dyDescent="0.3">
      <c r="A138" s="2">
        <v>136</v>
      </c>
      <c r="B138" s="2" t="s">
        <v>288</v>
      </c>
      <c r="C138" s="2" t="s">
        <v>289</v>
      </c>
      <c r="D138" s="2">
        <v>2.83</v>
      </c>
      <c r="E138" s="4">
        <v>136</v>
      </c>
      <c r="F138" s="4" t="str">
        <f ca="1">IFERROR(__xludf.DUMMYFUNCTION("GOOGLETRANSLATE($B138, ""en"",""tr"")"),"yüzyıl")</f>
        <v>yüzyıl</v>
      </c>
      <c r="G138" s="4" t="str">
        <f ca="1">IFERROR(__xludf.DUMMYFUNCTION("GOOGLETRANSLATE($C138, ""en"",""tr"")"),"yıl")</f>
        <v>yıl</v>
      </c>
      <c r="H138" s="4">
        <v>2.83</v>
      </c>
    </row>
    <row r="139" spans="1:8" x14ac:dyDescent="0.3">
      <c r="A139" s="2">
        <v>137</v>
      </c>
      <c r="B139" s="2" t="s">
        <v>290</v>
      </c>
      <c r="C139" s="2" t="s">
        <v>291</v>
      </c>
      <c r="D139" s="2">
        <v>3.5</v>
      </c>
      <c r="E139" s="4">
        <v>137</v>
      </c>
      <c r="F139" s="4" t="str">
        <f ca="1">IFERROR(__xludf.DUMMYFUNCTION("GOOGLETRANSLATE($B139, ""en"",""tr"")"),"alaşım")</f>
        <v>alaşım</v>
      </c>
      <c r="G139" s="4" t="str">
        <f ca="1">IFERROR(__xludf.DUMMYFUNCTION("GOOGLETRANSLATE($C139, ""en"",""tr"")"),"çelik")</f>
        <v>çelik</v>
      </c>
      <c r="H139" s="4">
        <v>3.5</v>
      </c>
    </row>
    <row r="140" spans="1:8" x14ac:dyDescent="0.3">
      <c r="A140" s="2">
        <v>138</v>
      </c>
      <c r="B140" s="2" t="s">
        <v>292</v>
      </c>
      <c r="C140" s="2" t="s">
        <v>293</v>
      </c>
      <c r="D140" s="2">
        <v>3.58</v>
      </c>
      <c r="E140" s="4">
        <v>138</v>
      </c>
      <c r="F140" s="4" t="str">
        <f ca="1">IFERROR(__xludf.DUMMYFUNCTION("GOOGLETRANSLATE($B140, ""en"",""tr"")"),"sulh yargıcı")</f>
        <v>sulh yargıcı</v>
      </c>
      <c r="G140" s="4" t="str">
        <f ca="1">IFERROR(__xludf.DUMMYFUNCTION("GOOGLETRANSLATE($C140, ""en"",""tr"")"),"yargıç")</f>
        <v>yargıç</v>
      </c>
      <c r="H140" s="4">
        <v>3.58</v>
      </c>
    </row>
    <row r="141" spans="1:8" x14ac:dyDescent="0.3">
      <c r="A141" s="2">
        <v>139</v>
      </c>
      <c r="B141" s="2" t="s">
        <v>294</v>
      </c>
      <c r="C141" s="2" t="s">
        <v>295</v>
      </c>
      <c r="D141" s="2">
        <v>0.17</v>
      </c>
      <c r="E141" s="4">
        <v>139</v>
      </c>
      <c r="F141" s="4" t="str">
        <f ca="1">IFERROR(__xludf.DUMMYFUNCTION("GOOGLETRANSLATE($B141, ""en"",""tr"")"),"kaos")</f>
        <v>kaos</v>
      </c>
      <c r="G141" s="4" t="str">
        <f ca="1">IFERROR(__xludf.DUMMYFUNCTION("GOOGLETRANSLATE($C141, ""en"",""tr"")"),"sınıf")</f>
        <v>sınıf</v>
      </c>
      <c r="H141" s="4">
        <v>0.17</v>
      </c>
    </row>
    <row r="142" spans="1:8" x14ac:dyDescent="0.3">
      <c r="A142" s="2">
        <v>140</v>
      </c>
      <c r="B142" s="2" t="s">
        <v>296</v>
      </c>
      <c r="C142" s="2" t="s">
        <v>297</v>
      </c>
      <c r="D142" s="2">
        <v>1.75</v>
      </c>
      <c r="E142" s="4">
        <v>140</v>
      </c>
      <c r="F142" s="4" t="str">
        <f ca="1">IFERROR(__xludf.DUMMYFUNCTION("GOOGLETRANSLATE($B142, ""en"",""tr"")"),"uzaktan Eğitim")</f>
        <v>uzaktan Eğitim</v>
      </c>
      <c r="G142" s="4" t="str">
        <f ca="1">IFERROR(__xludf.DUMMYFUNCTION("GOOGLETRANSLATE($C142, ""en"",""tr"")"),"internet")</f>
        <v>internet</v>
      </c>
      <c r="H142" s="4">
        <v>1.75</v>
      </c>
    </row>
    <row r="143" spans="1:8" x14ac:dyDescent="0.3">
      <c r="A143" s="2">
        <v>141</v>
      </c>
      <c r="B143" s="2" t="s">
        <v>298</v>
      </c>
      <c r="C143" s="2" t="s">
        <v>299</v>
      </c>
      <c r="D143" s="2">
        <v>0.42</v>
      </c>
      <c r="E143" s="4">
        <v>141</v>
      </c>
      <c r="F143" s="4" t="str">
        <f ca="1">IFERROR(__xludf.DUMMYFUNCTION("GOOGLETRANSLATE($B143, ""en"",""tr"")"),"kum")</f>
        <v>kum</v>
      </c>
      <c r="G143" s="4" t="str">
        <f ca="1">IFERROR(__xludf.DUMMYFUNCTION("GOOGLETRANSLATE($C143, ""en"",""tr"")"),"ayak")</f>
        <v>ayak</v>
      </c>
      <c r="H143" s="4">
        <v>0.42</v>
      </c>
    </row>
    <row r="144" spans="1:8" x14ac:dyDescent="0.3">
      <c r="A144" s="2">
        <v>142</v>
      </c>
      <c r="B144" s="2" t="s">
        <v>300</v>
      </c>
      <c r="C144" s="2" t="s">
        <v>301</v>
      </c>
      <c r="D144" s="2">
        <v>2.83</v>
      </c>
      <c r="E144" s="4">
        <v>142</v>
      </c>
      <c r="F144" s="4" t="str">
        <f ca="1">IFERROR(__xludf.DUMMYFUNCTION("GOOGLETRANSLATE($B144, ""en"",""tr"")"),"IMF")</f>
        <v>IMF</v>
      </c>
      <c r="G144" s="4" t="str">
        <f ca="1">IFERROR(__xludf.DUMMYFUNCTION("GOOGLETRANSLATE($C144, ""en"",""tr"")"),"Alman bankası")</f>
        <v>Alman bankası</v>
      </c>
      <c r="H144" s="4">
        <v>2.83</v>
      </c>
    </row>
    <row r="145" spans="1:8" x14ac:dyDescent="0.3">
      <c r="A145" s="2">
        <v>143</v>
      </c>
      <c r="B145" s="2" t="s">
        <v>302</v>
      </c>
      <c r="C145" s="2" t="s">
        <v>303</v>
      </c>
      <c r="D145" s="2">
        <v>3.17</v>
      </c>
      <c r="E145" s="4">
        <v>143</v>
      </c>
      <c r="F145" s="5" t="s">
        <v>302</v>
      </c>
      <c r="G145" s="5" t="s">
        <v>303</v>
      </c>
      <c r="H145" s="4">
        <v>3.17</v>
      </c>
    </row>
    <row r="146" spans="1:8" x14ac:dyDescent="0.3">
      <c r="A146" s="2">
        <v>144</v>
      </c>
      <c r="B146" s="2" t="s">
        <v>304</v>
      </c>
      <c r="C146" s="2" t="s">
        <v>305</v>
      </c>
      <c r="D146" s="2">
        <v>0.57999999999999996</v>
      </c>
      <c r="E146" s="4">
        <v>144</v>
      </c>
      <c r="F146" s="4" t="str">
        <f ca="1">IFERROR(__xludf.DUMMYFUNCTION("GOOGLETRANSLATE($B146, ""en"",""tr"")"),"ipekböceği")</f>
        <v>ipekböceği</v>
      </c>
      <c r="G146" s="4" t="str">
        <f ca="1">IFERROR(__xludf.DUMMYFUNCTION("GOOGLETRANSLATE($C146, ""en"",""tr"")"),"İpek yolu")</f>
        <v>İpek yolu</v>
      </c>
      <c r="H146" s="4">
        <v>0.57999999999999996</v>
      </c>
    </row>
    <row r="147" spans="1:8" x14ac:dyDescent="0.3">
      <c r="A147" s="2">
        <v>145</v>
      </c>
      <c r="B147" s="2" t="s">
        <v>306</v>
      </c>
      <c r="C147" s="2" t="s">
        <v>307</v>
      </c>
      <c r="D147" s="2">
        <v>0.57999999999999996</v>
      </c>
      <c r="E147" s="4">
        <v>145</v>
      </c>
      <c r="F147" s="4" t="str">
        <f ca="1">IFERROR(__xludf.DUMMYFUNCTION("GOOGLETRANSLATE($B147, ""en"",""tr"")"),"özgürlük")</f>
        <v>özgürlük</v>
      </c>
      <c r="G147" s="4" t="str">
        <f ca="1">IFERROR(__xludf.DUMMYFUNCTION("GOOGLETRANSLATE($C147, ""en"",""tr"")"),"vaha")</f>
        <v>vaha</v>
      </c>
      <c r="H147" s="4">
        <v>0.57999999999999996</v>
      </c>
    </row>
    <row r="148" spans="1:8" x14ac:dyDescent="0.3">
      <c r="A148" s="2">
        <v>146</v>
      </c>
      <c r="B148" s="2" t="s">
        <v>308</v>
      </c>
      <c r="C148" s="2" t="s">
        <v>309</v>
      </c>
      <c r="D148" s="2">
        <v>0.67</v>
      </c>
      <c r="E148" s="4">
        <v>146</v>
      </c>
      <c r="F148" s="4" t="str">
        <f ca="1">IFERROR(__xludf.DUMMYFUNCTION("GOOGLETRANSLATE($B148, ""en"",""tr"")"),"sitoplazma")</f>
        <v>sitoplazma</v>
      </c>
      <c r="G148" s="5" t="s">
        <v>310</v>
      </c>
      <c r="H148" s="4">
        <v>0.67</v>
      </c>
    </row>
    <row r="149" spans="1:8" x14ac:dyDescent="0.3">
      <c r="A149" s="2">
        <v>147</v>
      </c>
      <c r="B149" s="2" t="s">
        <v>311</v>
      </c>
      <c r="C149" s="2" t="s">
        <v>312</v>
      </c>
      <c r="D149" s="2">
        <v>3.5</v>
      </c>
      <c r="E149" s="4">
        <v>147</v>
      </c>
      <c r="F149" s="4" t="str">
        <f ca="1">IFERROR(__xludf.DUMMYFUNCTION("GOOGLETRANSLATE($B149, ""en"",""tr"")"),"Protestan")</f>
        <v>Protestan</v>
      </c>
      <c r="G149" s="4" t="str">
        <f ca="1">IFERROR(__xludf.DUMMYFUNCTION("GOOGLETRANSLATE($C149, ""en"",""tr"")"),"Hıristiyan")</f>
        <v>Hıristiyan</v>
      </c>
      <c r="H149" s="4">
        <v>3.5</v>
      </c>
    </row>
    <row r="150" spans="1:8" x14ac:dyDescent="0.3">
      <c r="A150" s="2">
        <v>148</v>
      </c>
      <c r="B150" s="2" t="s">
        <v>313</v>
      </c>
      <c r="C150" s="2" t="s">
        <v>314</v>
      </c>
      <c r="D150" s="2">
        <v>2.33</v>
      </c>
      <c r="E150" s="4">
        <v>148</v>
      </c>
      <c r="F150" s="4" t="str">
        <f ca="1">IFERROR(__xludf.DUMMYFUNCTION("GOOGLETRANSLATE($B150, ""en"",""tr"")"),"Leonardo da Vinci")</f>
        <v>Leonardo da Vinci</v>
      </c>
      <c r="G150" s="4" t="str">
        <f ca="1">IFERROR(__xludf.DUMMYFUNCTION("GOOGLETRANSLATE($C150, ""en"",""tr"")"),"Son Akşam Yemeği")</f>
        <v>Son Akşam Yemeği</v>
      </c>
      <c r="H150" s="4">
        <v>2.33</v>
      </c>
    </row>
    <row r="151" spans="1:8" x14ac:dyDescent="0.3">
      <c r="A151" s="2">
        <v>149</v>
      </c>
      <c r="B151" s="2" t="s">
        <v>315</v>
      </c>
      <c r="C151" s="2" t="s">
        <v>316</v>
      </c>
      <c r="D151" s="2">
        <v>1</v>
      </c>
      <c r="E151" s="4">
        <v>149</v>
      </c>
      <c r="F151" s="4" t="str">
        <f ca="1">IFERROR(__xludf.DUMMYFUNCTION("GOOGLETRANSLATE($B151, ""en"",""tr"")"),"harita")</f>
        <v>harita</v>
      </c>
      <c r="G151" s="4" t="str">
        <f ca="1">IFERROR(__xludf.DUMMYFUNCTION("GOOGLETRANSLATE($C151, ""en"",""tr"")"),"kare")</f>
        <v>kare</v>
      </c>
      <c r="H151" s="4">
        <v>1</v>
      </c>
    </row>
    <row r="152" spans="1:8" x14ac:dyDescent="0.3">
      <c r="A152" s="2">
        <v>150</v>
      </c>
      <c r="B152" s="2" t="s">
        <v>317</v>
      </c>
      <c r="C152" s="2" t="s">
        <v>318</v>
      </c>
      <c r="D152" s="2">
        <v>3.5</v>
      </c>
      <c r="E152" s="4">
        <v>150</v>
      </c>
      <c r="F152" s="4" t="str">
        <f ca="1">IFERROR(__xludf.DUMMYFUNCTION("GOOGLETRANSLATE($B152, ""en"",""tr"")"),"parlamento")</f>
        <v>parlamento</v>
      </c>
      <c r="G152" s="4" t="str">
        <f ca="1">IFERROR(__xludf.DUMMYFUNCTION("GOOGLETRANSLATE($C152, ""en"",""tr"")"),"kongre")</f>
        <v>kongre</v>
      </c>
      <c r="H152" s="4">
        <v>3.5</v>
      </c>
    </row>
    <row r="153" spans="1:8" x14ac:dyDescent="0.3">
      <c r="A153" s="2">
        <v>151</v>
      </c>
      <c r="B153" s="2" t="s">
        <v>319</v>
      </c>
      <c r="C153" s="2" t="s">
        <v>320</v>
      </c>
      <c r="D153" s="2">
        <v>1.17</v>
      </c>
      <c r="E153" s="4">
        <v>151</v>
      </c>
      <c r="F153" s="4" t="str">
        <f ca="1">IFERROR(__xludf.DUMMYFUNCTION("GOOGLETRANSLATE($B153, ""en"",""tr"")"),"Bağış")</f>
        <v>Bağış</v>
      </c>
      <c r="G153" s="4" t="str">
        <f ca="1">IFERROR(__xludf.DUMMYFUNCTION("GOOGLETRANSLATE($C153, ""en"",""tr"")"),"gelişim")</f>
        <v>gelişim</v>
      </c>
      <c r="H153" s="4">
        <v>1.17</v>
      </c>
    </row>
    <row r="154" spans="1:8" x14ac:dyDescent="0.3">
      <c r="A154" s="2">
        <v>152</v>
      </c>
      <c r="B154" s="2" t="s">
        <v>321</v>
      </c>
      <c r="C154" s="2" t="s">
        <v>322</v>
      </c>
      <c r="D154" s="2">
        <v>3.08</v>
      </c>
      <c r="E154" s="4">
        <v>152</v>
      </c>
      <c r="F154" s="4" t="str">
        <f ca="1">IFERROR(__xludf.DUMMYFUNCTION("GOOGLETRANSLATE($B154, ""en"",""tr"")"),"patoloji")</f>
        <v>patoloji</v>
      </c>
      <c r="G154" s="4" t="str">
        <f ca="1">IFERROR(__xludf.DUMMYFUNCTION("GOOGLETRANSLATE($C154, ""en"",""tr"")"),"hematoloji")</f>
        <v>hematoloji</v>
      </c>
      <c r="H154" s="4">
        <v>3.08</v>
      </c>
    </row>
    <row r="155" spans="1:8" x14ac:dyDescent="0.3">
      <c r="A155" s="2">
        <v>153</v>
      </c>
      <c r="B155" s="2" t="s">
        <v>323</v>
      </c>
      <c r="C155" s="2" t="s">
        <v>324</v>
      </c>
      <c r="D155" s="2">
        <v>2</v>
      </c>
      <c r="E155" s="4">
        <v>153</v>
      </c>
      <c r="F155" s="4" t="str">
        <f ca="1">IFERROR(__xludf.DUMMYFUNCTION("GOOGLETRANSLATE($B155, ""en"",""tr"")"),"vadi")</f>
        <v>vadi</v>
      </c>
      <c r="G155" s="4" t="str">
        <f ca="1">IFERROR(__xludf.DUMMYFUNCTION("GOOGLETRANSLATE($C155, ""en"",""tr"")"),"depresyon")</f>
        <v>depresyon</v>
      </c>
      <c r="H155" s="4">
        <v>2</v>
      </c>
    </row>
    <row r="156" spans="1:8" x14ac:dyDescent="0.3">
      <c r="A156" s="2">
        <v>154</v>
      </c>
      <c r="B156" s="2" t="s">
        <v>115</v>
      </c>
      <c r="C156" s="2" t="s">
        <v>325</v>
      </c>
      <c r="D156" s="2">
        <v>0.25</v>
      </c>
      <c r="E156" s="4">
        <v>154</v>
      </c>
      <c r="F156" s="4" t="str">
        <f ca="1">IFERROR(__xludf.DUMMYFUNCTION("GOOGLETRANSLATE($B156, ""en"",""tr"")"),"teleskop")</f>
        <v>teleskop</v>
      </c>
      <c r="G156" s="4" t="str">
        <f ca="1">IFERROR(__xludf.DUMMYFUNCTION("GOOGLETRANSLATE($C156, ""en"",""tr"")"),"sandalye")</f>
        <v>sandalye</v>
      </c>
      <c r="H156" s="4">
        <v>0.25</v>
      </c>
    </row>
    <row r="157" spans="1:8" x14ac:dyDescent="0.3">
      <c r="A157" s="2">
        <v>155</v>
      </c>
      <c r="B157" s="2" t="s">
        <v>326</v>
      </c>
      <c r="C157" s="2" t="s">
        <v>327</v>
      </c>
      <c r="D157" s="2">
        <v>1.42</v>
      </c>
      <c r="E157" s="4">
        <v>155</v>
      </c>
      <c r="F157" s="4" t="str">
        <f ca="1">IFERROR(__xludf.DUMMYFUNCTION("GOOGLETRANSLATE($B157, ""en"",""tr"")"),"ağır metal")</f>
        <v>ağır metal</v>
      </c>
      <c r="G157" s="4" t="str">
        <f ca="1">IFERROR(__xludf.DUMMYFUNCTION("GOOGLETRANSLATE($C157, ""en"",""tr"")"),"sahne")</f>
        <v>sahne</v>
      </c>
      <c r="H157" s="4">
        <v>1.42</v>
      </c>
    </row>
    <row r="158" spans="1:8" x14ac:dyDescent="0.3">
      <c r="A158" s="2">
        <v>156</v>
      </c>
      <c r="B158" s="2" t="s">
        <v>328</v>
      </c>
      <c r="C158" s="2" t="s">
        <v>329</v>
      </c>
      <c r="D158" s="2">
        <v>1.5</v>
      </c>
      <c r="E158" s="4">
        <v>156</v>
      </c>
      <c r="F158" s="4" t="str">
        <f ca="1">IFERROR(__xludf.DUMMYFUNCTION("GOOGLETRANSLATE($B158, ""en"",""tr"")"),"küreselleşme")</f>
        <v>küreselleşme</v>
      </c>
      <c r="G158" s="4" t="str">
        <f ca="1">IFERROR(__xludf.DUMMYFUNCTION("GOOGLETRANSLATE($C158, ""en"",""tr"")"),"vize")</f>
        <v>vize</v>
      </c>
      <c r="H158" s="4">
        <v>1.5</v>
      </c>
    </row>
    <row r="159" spans="1:8" x14ac:dyDescent="0.3">
      <c r="A159" s="2">
        <v>157</v>
      </c>
      <c r="B159" s="2" t="s">
        <v>330</v>
      </c>
      <c r="C159" s="2" t="s">
        <v>331</v>
      </c>
      <c r="D159" s="2">
        <v>2.33</v>
      </c>
      <c r="E159" s="4">
        <v>157</v>
      </c>
      <c r="F159" s="4" t="str">
        <f ca="1">IFERROR(__xludf.DUMMYFUNCTION("GOOGLETRANSLATE($B159, ""en"",""tr"")"),"yarasa")</f>
        <v>yarasa</v>
      </c>
      <c r="G159" s="4" t="str">
        <f ca="1">IFERROR(__xludf.DUMMYFUNCTION("GOOGLETRANSLATE($C159, ""en"",""tr"")"),"vampir")</f>
        <v>vampir</v>
      </c>
      <c r="H159" s="4">
        <v>2.33</v>
      </c>
    </row>
    <row r="160" spans="1:8" x14ac:dyDescent="0.3">
      <c r="A160" s="2">
        <v>158</v>
      </c>
      <c r="B160" s="2" t="s">
        <v>332</v>
      </c>
      <c r="C160" s="2" t="s">
        <v>333</v>
      </c>
      <c r="D160" s="2">
        <v>2.83</v>
      </c>
      <c r="E160" s="4">
        <v>158</v>
      </c>
      <c r="F160" s="4" t="str">
        <f ca="1">IFERROR(__xludf.DUMMYFUNCTION("GOOGLETRANSLATE($B160, ""en"",""tr"")"),"milletvekili")</f>
        <v>milletvekili</v>
      </c>
      <c r="G160" s="4" t="str">
        <f ca="1">IFERROR(__xludf.DUMMYFUNCTION("GOOGLETRANSLATE($C160, ""en"",""tr"")"),"subay")</f>
        <v>subay</v>
      </c>
      <c r="H160" s="4">
        <v>2.83</v>
      </c>
    </row>
    <row r="161" spans="1:8" x14ac:dyDescent="0.3">
      <c r="A161" s="2">
        <v>159</v>
      </c>
      <c r="B161" s="2" t="s">
        <v>334</v>
      </c>
      <c r="C161" s="2" t="s">
        <v>335</v>
      </c>
      <c r="D161" s="2">
        <v>0.42</v>
      </c>
      <c r="E161" s="4">
        <v>159</v>
      </c>
      <c r="F161" s="4" t="str">
        <f ca="1">IFERROR(__xludf.DUMMYFUNCTION("GOOGLETRANSLATE($B161, ""en"",""tr"")"),"elektrik")</f>
        <v>elektrik</v>
      </c>
      <c r="G161" s="4" t="str">
        <f ca="1">IFERROR(__xludf.DUMMYFUNCTION("GOOGLETRANSLATE($C161, ""en"",""tr"")"),"dava")</f>
        <v>dava</v>
      </c>
      <c r="H161" s="4">
        <v>0.42</v>
      </c>
    </row>
    <row r="162" spans="1:8" x14ac:dyDescent="0.3">
      <c r="A162" s="2">
        <v>160</v>
      </c>
      <c r="B162" s="2" t="s">
        <v>336</v>
      </c>
      <c r="C162" s="2" t="s">
        <v>337</v>
      </c>
      <c r="D162" s="2">
        <v>3.67</v>
      </c>
      <c r="E162" s="4">
        <v>160</v>
      </c>
      <c r="F162" s="5" t="s">
        <v>338</v>
      </c>
      <c r="G162" s="5" t="s">
        <v>339</v>
      </c>
      <c r="H162" s="4">
        <v>3.67</v>
      </c>
    </row>
    <row r="163" spans="1:8" x14ac:dyDescent="0.3">
      <c r="A163" s="2">
        <v>161</v>
      </c>
      <c r="B163" s="2" t="s">
        <v>340</v>
      </c>
      <c r="C163" s="2" t="s">
        <v>341</v>
      </c>
      <c r="D163" s="2">
        <v>1.42</v>
      </c>
      <c r="E163" s="4">
        <v>161</v>
      </c>
      <c r="F163" s="4" t="str">
        <f ca="1">IFERROR(__xludf.DUMMYFUNCTION("GOOGLETRANSLATE($B163, ""en"",""tr"")"),"düğme")</f>
        <v>düğme</v>
      </c>
      <c r="G163" s="4" t="str">
        <f ca="1">IFERROR(__xludf.DUMMYFUNCTION("GOOGLETRANSLATE($C163, ""en"",""tr"")"),"dikiş makinesi")</f>
        <v>dikiş makinesi</v>
      </c>
      <c r="H163" s="4">
        <v>1.42</v>
      </c>
    </row>
    <row r="164" spans="1:8" x14ac:dyDescent="0.3">
      <c r="A164" s="2">
        <v>162</v>
      </c>
      <c r="B164" s="2" t="s">
        <v>49</v>
      </c>
      <c r="C164" s="2" t="s">
        <v>342</v>
      </c>
      <c r="D164" s="2">
        <v>0</v>
      </c>
      <c r="E164" s="4">
        <v>162</v>
      </c>
      <c r="F164" s="4" t="str">
        <f ca="1">IFERROR(__xludf.DUMMYFUNCTION("GOOGLETRANSLATE($B164, ""en"",""tr"")"),"sihirbaz")</f>
        <v>sihirbaz</v>
      </c>
      <c r="G164" s="4" t="str">
        <f ca="1">IFERROR(__xludf.DUMMYFUNCTION("GOOGLETRANSLATE($C164, ""en"",""tr"")"),"kablo")</f>
        <v>kablo</v>
      </c>
      <c r="H164" s="4">
        <v>0</v>
      </c>
    </row>
    <row r="165" spans="1:8" x14ac:dyDescent="0.3">
      <c r="A165" s="2">
        <v>163</v>
      </c>
      <c r="B165" s="2" t="s">
        <v>343</v>
      </c>
      <c r="C165" s="2" t="s">
        <v>344</v>
      </c>
      <c r="D165" s="2">
        <v>0</v>
      </c>
      <c r="E165" s="4">
        <v>163</v>
      </c>
      <c r="F165" s="4" t="str">
        <f ca="1">IFERROR(__xludf.DUMMYFUNCTION("GOOGLETRANSLATE($B165, ""en"",""tr"")"),"filozof")</f>
        <v>filozof</v>
      </c>
      <c r="G165" s="4" t="str">
        <f ca="1">IFERROR(__xludf.DUMMYFUNCTION("GOOGLETRANSLATE($C165, ""en"",""tr"")"),"yarışma")</f>
        <v>yarışma</v>
      </c>
      <c r="H165" s="4">
        <v>0</v>
      </c>
    </row>
    <row r="166" spans="1:8" x14ac:dyDescent="0.3">
      <c r="A166" s="2">
        <v>164</v>
      </c>
      <c r="B166" s="2" t="s">
        <v>345</v>
      </c>
      <c r="C166" s="2" t="s">
        <v>346</v>
      </c>
      <c r="D166" s="2">
        <v>1.5</v>
      </c>
      <c r="E166" s="4">
        <v>164</v>
      </c>
      <c r="F166" s="4" t="str">
        <f ca="1">IFERROR(__xludf.DUMMYFUNCTION("GOOGLETRANSLATE($B166, ""en"",""tr"")"),"patlamış mısır")</f>
        <v>patlamış mısır</v>
      </c>
      <c r="G166" s="4" t="str">
        <f ca="1">IFERROR(__xludf.DUMMYFUNCTION("GOOGLETRANSLATE($C166, ""en"",""tr"")"),"sinema")</f>
        <v>sinema</v>
      </c>
      <c r="H166" s="4">
        <v>1.5</v>
      </c>
    </row>
    <row r="167" spans="1:8" x14ac:dyDescent="0.3">
      <c r="A167" s="2">
        <v>165</v>
      </c>
      <c r="B167" s="2" t="s">
        <v>347</v>
      </c>
      <c r="C167" s="2" t="s">
        <v>348</v>
      </c>
      <c r="D167" s="2">
        <v>2.25</v>
      </c>
      <c r="E167" s="4">
        <v>165</v>
      </c>
      <c r="F167" s="4" t="str">
        <f ca="1">IFERROR(__xludf.DUMMYFUNCTION("GOOGLETRANSLATE($B167, ""en"",""tr"")"),"tarım")</f>
        <v>tarım</v>
      </c>
      <c r="G167" s="4" t="str">
        <f ca="1">IFERROR(__xludf.DUMMYFUNCTION("GOOGLETRANSLATE($C167, ""en"",""tr"")"),"bitki")</f>
        <v>bitki</v>
      </c>
      <c r="H167" s="4">
        <v>2.25</v>
      </c>
    </row>
    <row r="168" spans="1:8" x14ac:dyDescent="0.3">
      <c r="A168" s="2">
        <v>166</v>
      </c>
      <c r="B168" s="2" t="s">
        <v>349</v>
      </c>
      <c r="C168" s="2" t="s">
        <v>350</v>
      </c>
      <c r="D168" s="2">
        <v>2.33</v>
      </c>
      <c r="E168" s="4">
        <v>166</v>
      </c>
      <c r="F168" s="4" t="str">
        <f ca="1">IFERROR(__xludf.DUMMYFUNCTION("GOOGLETRANSLATE($B168, ""en"",""tr"")"),"şair")</f>
        <v>şair</v>
      </c>
      <c r="G168" s="4" t="str">
        <f ca="1">IFERROR(__xludf.DUMMYFUNCTION("GOOGLETRANSLATE($C168, ""en"",""tr"")"),"gazeteci")</f>
        <v>gazeteci</v>
      </c>
      <c r="H168" s="4">
        <v>2.33</v>
      </c>
    </row>
    <row r="169" spans="1:8" x14ac:dyDescent="0.3">
      <c r="A169" s="2">
        <v>167</v>
      </c>
      <c r="B169" s="2" t="s">
        <v>351</v>
      </c>
      <c r="C169" s="2" t="s">
        <v>352</v>
      </c>
      <c r="D169" s="2">
        <v>0.83</v>
      </c>
      <c r="E169" s="4">
        <v>167</v>
      </c>
      <c r="F169" s="4" t="str">
        <f ca="1">IFERROR(__xludf.DUMMYFUNCTION("GOOGLETRANSLATE($B169, ""en"",""tr"")"),"hava durumu")</f>
        <v>hava durumu</v>
      </c>
      <c r="G169" s="4" t="str">
        <f ca="1">IFERROR(__xludf.DUMMYFUNCTION("GOOGLETRANSLATE($C169, ""en"",""tr"")"),"dalga")</f>
        <v>dalga</v>
      </c>
      <c r="H169" s="4">
        <v>0.83</v>
      </c>
    </row>
    <row r="170" spans="1:8" x14ac:dyDescent="0.3">
      <c r="A170" s="2">
        <v>168</v>
      </c>
      <c r="B170" s="2" t="s">
        <v>353</v>
      </c>
      <c r="C170" s="2" t="s">
        <v>354</v>
      </c>
      <c r="D170" s="2">
        <v>1.5</v>
      </c>
      <c r="E170" s="4">
        <v>168</v>
      </c>
      <c r="F170" s="4" t="str">
        <f ca="1">IFERROR(__xludf.DUMMYFUNCTION("GOOGLETRANSLATE($B170, ""en"",""tr"")"),"medeniyet")</f>
        <v>medeniyet</v>
      </c>
      <c r="G170" s="4" t="str">
        <f ca="1">IFERROR(__xludf.DUMMYFUNCTION("GOOGLETRANSLATE($C170, ""en"",""tr"")"),"yaşam tarzı")</f>
        <v>yaşam tarzı</v>
      </c>
      <c r="H170" s="4">
        <v>1.5</v>
      </c>
    </row>
    <row r="171" spans="1:8" x14ac:dyDescent="0.3">
      <c r="A171" s="2">
        <v>169</v>
      </c>
      <c r="B171" s="2" t="s">
        <v>355</v>
      </c>
      <c r="C171" s="2" t="s">
        <v>356</v>
      </c>
      <c r="D171" s="2">
        <v>2.75</v>
      </c>
      <c r="E171" s="4">
        <v>169</v>
      </c>
      <c r="F171" s="4" t="str">
        <f ca="1">IFERROR(__xludf.DUMMYFUNCTION("GOOGLETRANSLATE($B171, ""en"",""tr"")"),"kar")</f>
        <v>kar</v>
      </c>
      <c r="G171" s="4" t="str">
        <f ca="1">IFERROR(__xludf.DUMMYFUNCTION("GOOGLETRANSLATE($C171, ""en"",""tr"")"),"buz")</f>
        <v>buz</v>
      </c>
      <c r="H171" s="4">
        <v>2.75</v>
      </c>
    </row>
    <row r="172" spans="1:8" x14ac:dyDescent="0.3">
      <c r="A172" s="2">
        <v>170</v>
      </c>
      <c r="B172" s="2" t="s">
        <v>357</v>
      </c>
      <c r="C172" s="2" t="s">
        <v>358</v>
      </c>
      <c r="D172" s="2">
        <v>0.08</v>
      </c>
      <c r="E172" s="4">
        <v>170</v>
      </c>
      <c r="F172" s="4" t="str">
        <f ca="1">IFERROR(__xludf.DUMMYFUNCTION("GOOGLETRANSLATE($B172, ""en"",""tr"")"),"Dünya Savaşı II")</f>
        <v>Dünya Savaşı II</v>
      </c>
      <c r="G172" s="4" t="str">
        <f ca="1">IFERROR(__xludf.DUMMYFUNCTION("GOOGLETRANSLATE($C172, ""en"",""tr"")"),"Beethoven")</f>
        <v>Beethoven</v>
      </c>
      <c r="H172" s="4">
        <v>0.08</v>
      </c>
    </row>
    <row r="173" spans="1:8" x14ac:dyDescent="0.3">
      <c r="A173" s="2">
        <v>171</v>
      </c>
      <c r="B173" s="2" t="s">
        <v>359</v>
      </c>
      <c r="C173" s="2" t="s">
        <v>360</v>
      </c>
      <c r="D173" s="2">
        <v>4</v>
      </c>
      <c r="E173" s="4">
        <v>171</v>
      </c>
      <c r="F173" s="4" t="str">
        <f ca="1">IFERROR(__xludf.DUMMYFUNCTION("GOOGLETRANSLATE($B173, ""en"",""tr"")"),"anakart")</f>
        <v>anakart</v>
      </c>
      <c r="G173" s="5" t="s">
        <v>361</v>
      </c>
      <c r="H173" s="4">
        <v>4</v>
      </c>
    </row>
    <row r="174" spans="1:8" x14ac:dyDescent="0.3">
      <c r="A174" s="2">
        <v>172</v>
      </c>
      <c r="B174" s="2" t="s">
        <v>362</v>
      </c>
      <c r="C174" s="2" t="s">
        <v>363</v>
      </c>
      <c r="D174" s="2">
        <v>0.33</v>
      </c>
      <c r="E174" s="4">
        <v>172</v>
      </c>
      <c r="F174" s="4" t="str">
        <f ca="1">IFERROR(__xludf.DUMMYFUNCTION("GOOGLETRANSLATE($B174, ""en"",""tr"")"),"kulüp")</f>
        <v>kulüp</v>
      </c>
      <c r="G174" s="4" t="str">
        <f ca="1">IFERROR(__xludf.DUMMYFUNCTION("GOOGLETRANSLATE($C174, ""en"",""tr"")"),"işaret")</f>
        <v>işaret</v>
      </c>
      <c r="H174" s="4">
        <v>0.33</v>
      </c>
    </row>
    <row r="175" spans="1:8" x14ac:dyDescent="0.3">
      <c r="A175" s="2">
        <v>173</v>
      </c>
      <c r="B175" s="2" t="s">
        <v>364</v>
      </c>
      <c r="C175" s="2" t="s">
        <v>365</v>
      </c>
      <c r="D175" s="2">
        <v>2.92</v>
      </c>
      <c r="E175" s="4">
        <v>173</v>
      </c>
      <c r="F175" s="4" t="str">
        <f ca="1">IFERROR(__xludf.DUMMYFUNCTION("GOOGLETRANSLATE($B175, ""en"",""tr"")"),"Büyük İskender")</f>
        <v>Büyük İskender</v>
      </c>
      <c r="G175" s="4" t="str">
        <f ca="1">IFERROR(__xludf.DUMMYFUNCTION("GOOGLETRANSLATE($C175, ""en"",""tr"")"),"fatih")</f>
        <v>fatih</v>
      </c>
      <c r="H175" s="4">
        <v>2.92</v>
      </c>
    </row>
    <row r="176" spans="1:8" x14ac:dyDescent="0.3">
      <c r="A176" s="2">
        <v>174</v>
      </c>
      <c r="B176" s="2" t="s">
        <v>366</v>
      </c>
      <c r="C176" s="2" t="s">
        <v>131</v>
      </c>
      <c r="D176" s="2">
        <v>0.42</v>
      </c>
      <c r="E176" s="4">
        <v>174</v>
      </c>
      <c r="F176" s="4" t="str">
        <f ca="1">IFERROR(__xludf.DUMMYFUNCTION("GOOGLETRANSLATE($B176, ""en"",""tr"")"),"uygulama")</f>
        <v>uygulama</v>
      </c>
      <c r="G176" s="4" t="str">
        <f ca="1">IFERROR(__xludf.DUMMYFUNCTION("GOOGLETRANSLATE($C176, ""en"",""tr"")"),"gökada")</f>
        <v>gökada</v>
      </c>
      <c r="H176" s="4">
        <v>0.42</v>
      </c>
    </row>
    <row r="177" spans="1:8" x14ac:dyDescent="0.3">
      <c r="A177" s="2">
        <v>175</v>
      </c>
      <c r="B177" s="2" t="s">
        <v>367</v>
      </c>
      <c r="C177" s="2" t="s">
        <v>282</v>
      </c>
      <c r="D177" s="2">
        <v>0</v>
      </c>
      <c r="E177" s="4">
        <v>175</v>
      </c>
      <c r="F177" s="4" t="str">
        <f ca="1">IFERROR(__xludf.DUMMYFUNCTION("GOOGLETRANSLATE($B177, ""en"",""tr"")"),"Bulut bilişim")</f>
        <v>Bulut bilişim</v>
      </c>
      <c r="G177" s="4" t="str">
        <f ca="1">IFERROR(__xludf.DUMMYFUNCTION("GOOGLETRANSLATE($C177, ""en"",""tr"")"),"yağmur")</f>
        <v>yağmur</v>
      </c>
      <c r="H177" s="4">
        <v>0</v>
      </c>
    </row>
    <row r="178" spans="1:8" x14ac:dyDescent="0.3">
      <c r="A178" s="2">
        <v>176</v>
      </c>
      <c r="B178" s="2" t="s">
        <v>18</v>
      </c>
      <c r="C178" s="2" t="s">
        <v>10</v>
      </c>
      <c r="D178" s="2">
        <v>1.58</v>
      </c>
      <c r="E178" s="4">
        <v>176</v>
      </c>
      <c r="F178" s="4" t="str">
        <f ca="1">IFERROR(__xludf.DUMMYFUNCTION("GOOGLETRANSLATE($B178, ""en"",""tr"")"),"televizyon")</f>
        <v>televizyon</v>
      </c>
      <c r="G178" s="4" t="str">
        <f ca="1">IFERROR(__xludf.DUMMYFUNCTION("GOOGLETRANSLATE($C178, ""en"",""tr"")"),"aktör")</f>
        <v>aktör</v>
      </c>
      <c r="H178" s="4">
        <v>1.58</v>
      </c>
    </row>
    <row r="179" spans="1:8" x14ac:dyDescent="0.3">
      <c r="A179" s="2">
        <v>177</v>
      </c>
      <c r="B179" s="2" t="s">
        <v>368</v>
      </c>
      <c r="C179" s="2" t="s">
        <v>124</v>
      </c>
      <c r="D179" s="2">
        <v>2.42</v>
      </c>
      <c r="E179" s="4">
        <v>177</v>
      </c>
      <c r="F179" s="4" t="str">
        <f ca="1">IFERROR(__xludf.DUMMYFUNCTION("GOOGLETRANSLATE($B179, ""en"",""tr"")"),"delta")</f>
        <v>delta</v>
      </c>
      <c r="G179" s="4" t="str">
        <f ca="1">IFERROR(__xludf.DUMMYFUNCTION("GOOGLETRANSLATE($C179, ""en"",""tr"")"),"deniz")</f>
        <v>deniz</v>
      </c>
      <c r="H179" s="4">
        <v>2.42</v>
      </c>
    </row>
    <row r="180" spans="1:8" x14ac:dyDescent="0.3">
      <c r="A180" s="2">
        <v>178</v>
      </c>
      <c r="B180" s="2" t="s">
        <v>369</v>
      </c>
      <c r="C180" s="2" t="s">
        <v>370</v>
      </c>
      <c r="D180" s="2">
        <v>3.92</v>
      </c>
      <c r="E180" s="4">
        <v>178</v>
      </c>
      <c r="F180" s="4" t="s">
        <v>371</v>
      </c>
      <c r="G180" s="4" t="str">
        <f ca="1">IFERROR(__xludf.DUMMYFUNCTION("GOOGLETRANSLATE($C180, ""en"",""tr"")"),"iplik")</f>
        <v>iplik</v>
      </c>
      <c r="H180" s="4">
        <v>3.92</v>
      </c>
    </row>
    <row r="181" spans="1:8" x14ac:dyDescent="0.3">
      <c r="A181" s="2">
        <v>179</v>
      </c>
      <c r="B181" s="2" t="s">
        <v>372</v>
      </c>
      <c r="C181" s="2" t="s">
        <v>373</v>
      </c>
      <c r="D181" s="2">
        <v>1.42</v>
      </c>
      <c r="E181" s="4">
        <v>179</v>
      </c>
      <c r="F181" s="4" t="str">
        <f ca="1">IFERROR(__xludf.DUMMYFUNCTION("GOOGLETRANSLATE($B181, ""en"",""tr"")"),"yaya geçidi")</f>
        <v>yaya geçidi</v>
      </c>
      <c r="G181" s="4" t="str">
        <f ca="1">IFERROR(__xludf.DUMMYFUNCTION("GOOGLETRANSLATE($C181, ""en"",""tr"")"),"kişi")</f>
        <v>kişi</v>
      </c>
      <c r="H181" s="4">
        <v>1.42</v>
      </c>
    </row>
    <row r="182" spans="1:8" x14ac:dyDescent="0.3">
      <c r="A182" s="2">
        <v>180</v>
      </c>
      <c r="B182" s="2" t="s">
        <v>374</v>
      </c>
      <c r="C182" s="2" t="s">
        <v>375</v>
      </c>
      <c r="D182" s="2">
        <v>0</v>
      </c>
      <c r="E182" s="4">
        <v>180</v>
      </c>
      <c r="F182" s="4" t="str">
        <f ca="1">IFERROR(__xludf.DUMMYFUNCTION("GOOGLETRANSLATE($B182, ""en"",""tr"")"),"protein")</f>
        <v>protein</v>
      </c>
      <c r="G182" s="4" t="str">
        <f ca="1">IFERROR(__xludf.DUMMYFUNCTION("GOOGLETRANSLATE($C182, ""en"",""tr"")"),"halletmek")</f>
        <v>halletmek</v>
      </c>
      <c r="H182" s="4">
        <v>0</v>
      </c>
    </row>
    <row r="183" spans="1:8" x14ac:dyDescent="0.3">
      <c r="A183" s="2">
        <v>181</v>
      </c>
      <c r="B183" s="2" t="s">
        <v>376</v>
      </c>
      <c r="C183" s="2" t="s">
        <v>377</v>
      </c>
      <c r="D183" s="2">
        <v>0.42</v>
      </c>
      <c r="E183" s="4">
        <v>181</v>
      </c>
      <c r="F183" s="4" t="str">
        <f ca="1">IFERROR(__xludf.DUMMYFUNCTION("GOOGLETRANSLATE($B183, ""en"",""tr"")"),"U2")</f>
        <v>U2</v>
      </c>
      <c r="G183" s="4" t="str">
        <f ca="1">IFERROR(__xludf.DUMMYFUNCTION("GOOGLETRANSLATE($C183, ""en"",""tr"")"),"Ronaldo")</f>
        <v>Ronaldo</v>
      </c>
      <c r="H183" s="4">
        <v>0.42</v>
      </c>
    </row>
    <row r="184" spans="1:8" x14ac:dyDescent="0.3">
      <c r="A184" s="2">
        <v>182</v>
      </c>
      <c r="B184" s="2" t="s">
        <v>378</v>
      </c>
      <c r="C184" s="2" t="s">
        <v>379</v>
      </c>
      <c r="D184" s="2">
        <v>2.58</v>
      </c>
      <c r="E184" s="4">
        <v>182</v>
      </c>
      <c r="F184" s="4" t="str">
        <f ca="1">IFERROR(__xludf.DUMMYFUNCTION("GOOGLETRANSLATE($B184, ""en"",""tr"")"),"Elma")</f>
        <v>Elma</v>
      </c>
      <c r="G184" s="4" t="str">
        <f ca="1">IFERROR(__xludf.DUMMYFUNCTION("GOOGLETRANSLATE($C184, ""en"",""tr"")"),"iphone")</f>
        <v>iphone</v>
      </c>
      <c r="H184" s="4">
        <v>2.58</v>
      </c>
    </row>
    <row r="185" spans="1:8" x14ac:dyDescent="0.3">
      <c r="A185" s="2">
        <v>183</v>
      </c>
      <c r="B185" s="2" t="s">
        <v>380</v>
      </c>
      <c r="C185" s="2" t="s">
        <v>381</v>
      </c>
      <c r="D185" s="2">
        <v>1.83</v>
      </c>
      <c r="E185" s="4">
        <v>183</v>
      </c>
      <c r="F185" s="4" t="str">
        <f ca="1">IFERROR(__xludf.DUMMYFUNCTION("GOOGLETRANSLATE($B185, ""en"",""tr"")"),"nane")</f>
        <v>nane</v>
      </c>
      <c r="G185" s="4" t="str">
        <f ca="1">IFERROR(__xludf.DUMMYFUNCTION("GOOGLETRANSLATE($C185, ""en"",""tr"")"),"sakız")</f>
        <v>sakız</v>
      </c>
      <c r="H185" s="4">
        <v>1.83</v>
      </c>
    </row>
    <row r="186" spans="1:8" x14ac:dyDescent="0.3">
      <c r="A186" s="2">
        <v>184</v>
      </c>
      <c r="B186" s="2" t="s">
        <v>382</v>
      </c>
      <c r="C186" s="2" t="s">
        <v>383</v>
      </c>
      <c r="D186" s="2">
        <v>2.83</v>
      </c>
      <c r="E186" s="4">
        <v>184</v>
      </c>
      <c r="F186" s="4" t="str">
        <f ca="1">IFERROR(__xludf.DUMMYFUNCTION("GOOGLETRANSLATE($B186, ""en"",""tr"")"),"afiş")</f>
        <v>afiş</v>
      </c>
      <c r="G186" s="4" t="str">
        <f ca="1">IFERROR(__xludf.DUMMYFUNCTION("GOOGLETRANSLATE($C186, ""en"",""tr"")"),"kağıt")</f>
        <v>kağıt</v>
      </c>
      <c r="H186" s="4">
        <v>2.83</v>
      </c>
    </row>
    <row r="187" spans="1:8" x14ac:dyDescent="0.3">
      <c r="A187" s="2">
        <v>185</v>
      </c>
      <c r="B187" s="2" t="s">
        <v>384</v>
      </c>
      <c r="C187" s="2" t="s">
        <v>385</v>
      </c>
      <c r="D187" s="2">
        <v>0</v>
      </c>
      <c r="E187" s="4">
        <v>185</v>
      </c>
      <c r="F187" s="4" t="str">
        <f ca="1">IFERROR(__xludf.DUMMYFUNCTION("GOOGLETRANSLATE($B187, ""en"",""tr"")"),"UNICEF")</f>
        <v>UNICEF</v>
      </c>
      <c r="G187" s="4" t="str">
        <f ca="1">IFERROR(__xludf.DUMMYFUNCTION("GOOGLETRANSLATE($C187, ""en"",""tr"")"),"kök")</f>
        <v>kök</v>
      </c>
      <c r="H187" s="4">
        <v>0</v>
      </c>
    </row>
    <row r="188" spans="1:8" x14ac:dyDescent="0.3">
      <c r="A188" s="2">
        <v>186</v>
      </c>
      <c r="B188" s="2" t="s">
        <v>386</v>
      </c>
      <c r="C188" s="2" t="s">
        <v>387</v>
      </c>
      <c r="D188" s="2">
        <v>3.42</v>
      </c>
      <c r="E188" s="4">
        <v>186</v>
      </c>
      <c r="F188" s="4" t="str">
        <f ca="1">IFERROR(__xludf.DUMMYFUNCTION("GOOGLETRANSLATE($B188, ""en"",""tr"")"),"yabancı düşmanlığı")</f>
        <v>yabancı düşmanlığı</v>
      </c>
      <c r="G188" s="4" t="str">
        <f ca="1">IFERROR(__xludf.DUMMYFUNCTION("GOOGLETRANSLATE($C188, ""en"",""tr"")"),"ırkçılık")</f>
        <v>ırkçılık</v>
      </c>
      <c r="H188" s="4">
        <v>3.42</v>
      </c>
    </row>
    <row r="189" spans="1:8" x14ac:dyDescent="0.3">
      <c r="A189" s="2">
        <v>187</v>
      </c>
      <c r="B189" s="2" t="s">
        <v>388</v>
      </c>
      <c r="C189" s="2" t="s">
        <v>389</v>
      </c>
      <c r="D189" s="2">
        <v>0.33</v>
      </c>
      <c r="E189" s="4">
        <v>187</v>
      </c>
      <c r="F189" s="4" t="str">
        <f ca="1">IFERROR(__xludf.DUMMYFUNCTION("GOOGLETRANSLATE($B189, ""en"",""tr"")"),"Woody Allen")</f>
        <v>Woody Allen</v>
      </c>
      <c r="G189" s="4" t="str">
        <f ca="1">IFERROR(__xludf.DUMMYFUNCTION("GOOGLETRANSLATE($C189, ""en"",""tr"")"),"lens")</f>
        <v>lens</v>
      </c>
      <c r="H189" s="4">
        <v>0.33</v>
      </c>
    </row>
    <row r="190" spans="1:8" x14ac:dyDescent="0.3">
      <c r="A190" s="2">
        <v>188</v>
      </c>
      <c r="B190" s="2" t="s">
        <v>390</v>
      </c>
      <c r="C190" s="2" t="s">
        <v>391</v>
      </c>
      <c r="D190" s="2">
        <v>2.08</v>
      </c>
      <c r="E190" s="4">
        <v>188</v>
      </c>
      <c r="F190" s="4" t="str">
        <f ca="1">IFERROR(__xludf.DUMMYFUNCTION("GOOGLETRANSLATE($B190, ""en"",""tr"")"),"lamba")</f>
        <v>lamba</v>
      </c>
      <c r="G190" s="4" t="str">
        <f ca="1">IFERROR(__xludf.DUMMYFUNCTION("GOOGLETRANSLATE($C190, ""en"",""tr"")"),"cin")</f>
        <v>cin</v>
      </c>
      <c r="H190" s="4">
        <v>2.08</v>
      </c>
    </row>
    <row r="191" spans="1:8" x14ac:dyDescent="0.3">
      <c r="A191" s="2">
        <v>189</v>
      </c>
      <c r="B191" s="2" t="s">
        <v>392</v>
      </c>
      <c r="C191" s="2" t="s">
        <v>92</v>
      </c>
      <c r="D191" s="2">
        <v>0.92</v>
      </c>
      <c r="E191" s="4">
        <v>189</v>
      </c>
      <c r="F191" s="4" t="str">
        <f ca="1">IFERROR(__xludf.DUMMYFUNCTION("GOOGLETRANSLATE($B191, ""en"",""tr"")"),"Donanma")</f>
        <v>Donanma</v>
      </c>
      <c r="G191" s="4" t="str">
        <f ca="1">IFERROR(__xludf.DUMMYFUNCTION("GOOGLETRANSLATE($C191, ""en"",""tr"")"),"ada")</f>
        <v>ada</v>
      </c>
      <c r="H191" s="4">
        <v>0.92</v>
      </c>
    </row>
    <row r="192" spans="1:8" x14ac:dyDescent="0.3">
      <c r="A192" s="2">
        <v>190</v>
      </c>
      <c r="B192" s="2" t="s">
        <v>393</v>
      </c>
      <c r="C192" s="2" t="s">
        <v>394</v>
      </c>
      <c r="D192" s="2">
        <v>2</v>
      </c>
      <c r="E192" s="4">
        <v>190</v>
      </c>
      <c r="F192" s="4" t="str">
        <f ca="1">IFERROR(__xludf.DUMMYFUNCTION("GOOGLETRANSLATE($B192, ""en"",""tr"")"),"duvar")</f>
        <v>duvar</v>
      </c>
      <c r="G192" s="4" t="str">
        <f ca="1">IFERROR(__xludf.DUMMYFUNCTION("GOOGLETRANSLATE($C192, ""en"",""tr"")"),"kale")</f>
        <v>kale</v>
      </c>
      <c r="H192" s="4">
        <v>2</v>
      </c>
    </row>
    <row r="193" spans="1:8" x14ac:dyDescent="0.3">
      <c r="A193" s="2">
        <v>191</v>
      </c>
      <c r="B193" s="2" t="s">
        <v>395</v>
      </c>
      <c r="C193" s="2" t="s">
        <v>396</v>
      </c>
      <c r="D193" s="2">
        <v>2.33</v>
      </c>
      <c r="E193" s="4">
        <v>191</v>
      </c>
      <c r="F193" s="4" t="str">
        <f ca="1">IFERROR(__xludf.DUMMYFUNCTION("GOOGLETRANSLATE($B193, ""en"",""tr"")"),"Dinozor")</f>
        <v>Dinozor</v>
      </c>
      <c r="G193" s="4" t="str">
        <f ca="1">IFERROR(__xludf.DUMMYFUNCTION("GOOGLETRANSLATE($C193, ""en"",""tr"")"),"fil")</f>
        <v>fil</v>
      </c>
      <c r="H193" s="4">
        <v>2.33</v>
      </c>
    </row>
    <row r="194" spans="1:8" x14ac:dyDescent="0.3">
      <c r="A194" s="2">
        <v>192</v>
      </c>
      <c r="B194" s="2" t="s">
        <v>397</v>
      </c>
      <c r="C194" s="2" t="s">
        <v>398</v>
      </c>
      <c r="D194" s="2">
        <v>0.67</v>
      </c>
      <c r="E194" s="4">
        <v>192</v>
      </c>
      <c r="F194" s="4" t="str">
        <f ca="1">IFERROR(__xludf.DUMMYFUNCTION("GOOGLETRANSLATE($B194, ""en"",""tr"")"),"Saat kulesi")</f>
        <v>Saat kulesi</v>
      </c>
      <c r="G194" s="4" t="str">
        <f ca="1">IFERROR(__xludf.DUMMYFUNCTION("GOOGLETRANSLATE($C194, ""en"",""tr"")"),"taş")</f>
        <v>taş</v>
      </c>
      <c r="H194" s="4">
        <v>0.67</v>
      </c>
    </row>
    <row r="195" spans="1:8" x14ac:dyDescent="0.3">
      <c r="A195" s="2">
        <v>193</v>
      </c>
      <c r="B195" s="2" t="s">
        <v>399</v>
      </c>
      <c r="C195" s="2" t="s">
        <v>400</v>
      </c>
      <c r="D195" s="2">
        <v>1.5</v>
      </c>
      <c r="E195" s="4">
        <v>193</v>
      </c>
      <c r="F195" s="4" t="str">
        <f ca="1">IFERROR(__xludf.DUMMYFUNCTION("GOOGLETRANSLATE($B195, ""en"",""tr"")"),"Orta Doğu")</f>
        <v>Orta Doğu</v>
      </c>
      <c r="G195" s="4" t="str">
        <f ca="1">IFERROR(__xludf.DUMMYFUNCTION("GOOGLETRANSLATE($C195, ""en"",""tr"")"),"Fırat")</f>
        <v>Fırat</v>
      </c>
      <c r="H195" s="4">
        <v>1.5</v>
      </c>
    </row>
    <row r="196" spans="1:8" x14ac:dyDescent="0.3">
      <c r="A196" s="2">
        <v>194</v>
      </c>
      <c r="B196" s="2" t="s">
        <v>401</v>
      </c>
      <c r="C196" s="2" t="s">
        <v>402</v>
      </c>
      <c r="D196" s="2">
        <v>3.58</v>
      </c>
      <c r="E196" s="4">
        <v>194</v>
      </c>
      <c r="F196" s="4" t="str">
        <f ca="1">IFERROR(__xludf.DUMMYFUNCTION("GOOGLETRANSLATE($B196, ""en"",""tr"")"),"çayır")</f>
        <v>çayır</v>
      </c>
      <c r="G196" s="4" t="str">
        <f ca="1">IFERROR(__xludf.DUMMYFUNCTION("GOOGLETRANSLATE($C196, ""en"",""tr"")"),"otlak")</f>
        <v>otlak</v>
      </c>
      <c r="H196" s="4">
        <v>3.58</v>
      </c>
    </row>
    <row r="197" spans="1:8" x14ac:dyDescent="0.3">
      <c r="A197" s="2">
        <v>195</v>
      </c>
      <c r="B197" s="2" t="s">
        <v>403</v>
      </c>
      <c r="C197" s="2" t="s">
        <v>404</v>
      </c>
      <c r="D197" s="2">
        <v>3.17</v>
      </c>
      <c r="E197" s="4">
        <v>195</v>
      </c>
      <c r="F197" s="4" t="str">
        <f ca="1">IFERROR(__xludf.DUMMYFUNCTION("GOOGLETRANSLATE($B197, ""en"",""tr"")"),"gitar")</f>
        <v>gitar</v>
      </c>
      <c r="G197" s="4" t="str">
        <f ca="1">IFERROR(__xludf.DUMMYFUNCTION("GOOGLETRANSLATE($C197, ""en"",""tr"")"),"keman")</f>
        <v>keman</v>
      </c>
      <c r="H197" s="4">
        <v>3.17</v>
      </c>
    </row>
    <row r="198" spans="1:8" x14ac:dyDescent="0.3">
      <c r="A198" s="2">
        <v>196</v>
      </c>
      <c r="B198" s="2" t="s">
        <v>405</v>
      </c>
      <c r="C198" s="2" t="s">
        <v>406</v>
      </c>
      <c r="D198" s="2">
        <v>2.67</v>
      </c>
      <c r="E198" s="4">
        <v>196</v>
      </c>
      <c r="F198" s="4" t="str">
        <f ca="1">IFERROR(__xludf.DUMMYFUNCTION("GOOGLETRANSLATE($B198, ""en"",""tr"")"),"diplomasi")</f>
        <v>diplomasi</v>
      </c>
      <c r="G198" s="4" t="str">
        <f ca="1">IFERROR(__xludf.DUMMYFUNCTION("GOOGLETRANSLATE($C198, ""en"",""tr"")"),"müzakere")</f>
        <v>müzakere</v>
      </c>
      <c r="H198" s="4">
        <v>2.67</v>
      </c>
    </row>
    <row r="199" spans="1:8" x14ac:dyDescent="0.3">
      <c r="A199" s="2">
        <v>197</v>
      </c>
      <c r="B199" s="2" t="s">
        <v>407</v>
      </c>
      <c r="C199" s="2" t="s">
        <v>408</v>
      </c>
      <c r="D199" s="2">
        <v>0.75</v>
      </c>
      <c r="E199" s="4">
        <v>197</v>
      </c>
      <c r="F199" s="4" t="str">
        <f ca="1">IFERROR(__xludf.DUMMYFUNCTION("GOOGLETRANSLATE($B199, ""en"",""tr"")"),"yer çekimi")</f>
        <v>yer çekimi</v>
      </c>
      <c r="G199" s="4" t="str">
        <f ca="1">IFERROR(__xludf.DUMMYFUNCTION("GOOGLETRANSLATE($C199, ""en"",""tr"")"),"meteor")</f>
        <v>meteor</v>
      </c>
      <c r="H199" s="4">
        <v>0.75</v>
      </c>
    </row>
    <row r="200" spans="1:8" x14ac:dyDescent="0.3">
      <c r="A200" s="2">
        <v>198</v>
      </c>
      <c r="B200" s="2" t="s">
        <v>409</v>
      </c>
      <c r="C200" s="2" t="s">
        <v>410</v>
      </c>
      <c r="D200" s="2">
        <v>1.83</v>
      </c>
      <c r="E200" s="4">
        <v>198</v>
      </c>
      <c r="F200" s="4" t="str">
        <f ca="1">IFERROR(__xludf.DUMMYFUNCTION("GOOGLETRANSLATE($B200, ""en"",""tr"")"),"IQ")</f>
        <v>IQ</v>
      </c>
      <c r="G200" s="4" t="str">
        <f ca="1">IFERROR(__xludf.DUMMYFUNCTION("GOOGLETRANSLATE($C200, ""en"",""tr"")"),"Mensa")</f>
        <v>Mensa</v>
      </c>
      <c r="H200" s="4">
        <v>1.83</v>
      </c>
    </row>
    <row r="201" spans="1:8" x14ac:dyDescent="0.3">
      <c r="A201" s="2">
        <v>199</v>
      </c>
      <c r="B201" s="2" t="s">
        <v>411</v>
      </c>
      <c r="C201" s="2" t="s">
        <v>251</v>
      </c>
      <c r="D201" s="2">
        <v>3.17</v>
      </c>
      <c r="E201" s="4">
        <v>199</v>
      </c>
      <c r="F201" s="5" t="s">
        <v>412</v>
      </c>
      <c r="G201" s="4" t="str">
        <f ca="1">IFERROR(__xludf.DUMMYFUNCTION("GOOGLETRANSLATE($C201, ""en"",""tr"")"),"bayrak")</f>
        <v>bayrak</v>
      </c>
      <c r="H201" s="4">
        <v>3.17</v>
      </c>
    </row>
    <row r="202" spans="1:8" x14ac:dyDescent="0.3">
      <c r="A202" s="2">
        <v>200</v>
      </c>
      <c r="B202" s="2" t="s">
        <v>413</v>
      </c>
      <c r="C202" s="2" t="s">
        <v>414</v>
      </c>
      <c r="D202" s="2">
        <v>3.92</v>
      </c>
      <c r="E202" s="4">
        <v>200</v>
      </c>
      <c r="F202" s="4" t="str">
        <f ca="1">IFERROR(__xludf.DUMMYFUNCTION("GOOGLETRANSLATE($B202, ""en"",""tr"")"),"deprem")</f>
        <v>deprem</v>
      </c>
      <c r="G202" s="4" t="str">
        <f ca="1">IFERROR(__xludf.DUMMYFUNCTION("GOOGLETRANSLATE($C202, ""en"",""tr"")"),"titreme")</f>
        <v>titreme</v>
      </c>
      <c r="H202" s="4">
        <v>3.92</v>
      </c>
    </row>
    <row r="203" spans="1:8" x14ac:dyDescent="0.3">
      <c r="A203" s="2">
        <v>201</v>
      </c>
      <c r="B203" s="2" t="s">
        <v>415</v>
      </c>
      <c r="C203" s="2" t="s">
        <v>416</v>
      </c>
      <c r="D203" s="2">
        <v>2.75</v>
      </c>
      <c r="E203" s="4">
        <v>201</v>
      </c>
      <c r="F203" s="4" t="str">
        <f ca="1">IFERROR(__xludf.DUMMYFUNCTION("GOOGLETRANSLATE($B203, ""en"",""tr"")"),"varlık")</f>
        <v>varlık</v>
      </c>
      <c r="G203" s="4" t="str">
        <f ca="1">IFERROR(__xludf.DUMMYFUNCTION("GOOGLETRANSLATE($C203, ""en"",""tr"")"),"stoklamak")</f>
        <v>stoklamak</v>
      </c>
      <c r="H203" s="4">
        <v>2.75</v>
      </c>
    </row>
    <row r="204" spans="1:8" x14ac:dyDescent="0.3">
      <c r="A204" s="2">
        <v>202</v>
      </c>
      <c r="B204" s="2" t="s">
        <v>417</v>
      </c>
      <c r="C204" s="2" t="s">
        <v>418</v>
      </c>
      <c r="D204" s="2">
        <v>1.75</v>
      </c>
      <c r="E204" s="4">
        <v>202</v>
      </c>
      <c r="F204" s="4" t="str">
        <f ca="1">IFERROR(__xludf.DUMMYFUNCTION("GOOGLETRANSLATE($B204, ""en"",""tr"")"),"İbranice")</f>
        <v>İbranice</v>
      </c>
      <c r="G204" s="4" t="str">
        <f ca="1">IFERROR(__xludf.DUMMYFUNCTION("GOOGLETRANSLATE($C204, ""en"",""tr"")"),"Kudüs")</f>
        <v>Kudüs</v>
      </c>
      <c r="H204" s="4">
        <v>1.75</v>
      </c>
    </row>
    <row r="205" spans="1:8" x14ac:dyDescent="0.3">
      <c r="A205" s="2">
        <v>203</v>
      </c>
      <c r="B205" s="2" t="s">
        <v>419</v>
      </c>
      <c r="C205" s="2" t="s">
        <v>420</v>
      </c>
      <c r="D205" s="2">
        <v>1.92</v>
      </c>
      <c r="E205" s="4">
        <v>203</v>
      </c>
      <c r="F205" s="4" t="str">
        <f ca="1">IFERROR(__xludf.DUMMYFUNCTION("GOOGLETRANSLATE($B205, ""en"",""tr"")"),"bulutlu")</f>
        <v>bulutlu</v>
      </c>
      <c r="G205" s="4" t="str">
        <f ca="1">IFERROR(__xludf.DUMMYFUNCTION("GOOGLETRANSLATE($C205, ""en"",""tr"")"),"tahmin etmek")</f>
        <v>tahmin etmek</v>
      </c>
      <c r="H205" s="4">
        <v>1.92</v>
      </c>
    </row>
    <row r="206" spans="1:8" x14ac:dyDescent="0.3">
      <c r="A206" s="2">
        <v>204</v>
      </c>
      <c r="B206" s="2" t="s">
        <v>421</v>
      </c>
      <c r="C206" s="2" t="s">
        <v>422</v>
      </c>
      <c r="D206" s="2">
        <v>2.83</v>
      </c>
      <c r="E206" s="4">
        <v>204</v>
      </c>
      <c r="F206" s="4" t="str">
        <f ca="1">IFERROR(__xludf.DUMMYFUNCTION("GOOGLETRANSLATE($B206, ""en"",""tr"")"),"sözlük")</f>
        <v>sözlük</v>
      </c>
      <c r="G206" s="4" t="str">
        <f ca="1">IFERROR(__xludf.DUMMYFUNCTION("GOOGLETRANSLATE($C206, ""en"",""tr"")"),"ansiklopedi")</f>
        <v>ansiklopedi</v>
      </c>
      <c r="H206" s="4">
        <v>2.83</v>
      </c>
    </row>
    <row r="207" spans="1:8" x14ac:dyDescent="0.3">
      <c r="A207" s="2">
        <v>205</v>
      </c>
      <c r="B207" s="2" t="s">
        <v>423</v>
      </c>
      <c r="C207" s="2" t="s">
        <v>424</v>
      </c>
      <c r="D207" s="2">
        <v>1</v>
      </c>
      <c r="E207" s="4">
        <v>205</v>
      </c>
      <c r="F207" s="4" t="str">
        <f ca="1">IFERROR(__xludf.DUMMYFUNCTION("GOOGLETRANSLATE($B207, ""en"",""tr"")"),"nane")</f>
        <v>nane</v>
      </c>
      <c r="G207" s="4" t="str">
        <f ca="1">IFERROR(__xludf.DUMMYFUNCTION("GOOGLETRANSLATE($C207, ""en"",""tr"")"),"müze")</f>
        <v>müze</v>
      </c>
      <c r="H207" s="4">
        <v>1</v>
      </c>
    </row>
    <row r="208" spans="1:8" x14ac:dyDescent="0.3">
      <c r="A208" s="2">
        <v>206</v>
      </c>
      <c r="B208" s="2" t="s">
        <v>325</v>
      </c>
      <c r="C208" s="2" t="s">
        <v>425</v>
      </c>
      <c r="D208" s="2">
        <v>3.08</v>
      </c>
      <c r="E208" s="4">
        <v>206</v>
      </c>
      <c r="F208" s="4" t="str">
        <f ca="1">IFERROR(__xludf.DUMMYFUNCTION("GOOGLETRANSLATE($B208, ""en"",""tr"")"),"sandalye")</f>
        <v>sandalye</v>
      </c>
      <c r="G208" s="5" t="s">
        <v>426</v>
      </c>
      <c r="H208" s="4">
        <v>3.08</v>
      </c>
    </row>
    <row r="209" spans="1:8" x14ac:dyDescent="0.3">
      <c r="A209" s="2">
        <v>207</v>
      </c>
      <c r="B209" s="2" t="s">
        <v>427</v>
      </c>
      <c r="C209" s="2" t="s">
        <v>428</v>
      </c>
      <c r="D209" s="2">
        <v>0</v>
      </c>
      <c r="E209" s="4">
        <v>207</v>
      </c>
      <c r="F209" s="4" t="str">
        <f ca="1">IFERROR(__xludf.DUMMYFUNCTION("GOOGLETRANSLATE($B209, ""en"",""tr"")"),"İspanyol")</f>
        <v>İspanyol</v>
      </c>
      <c r="G209" s="4" t="str">
        <f ca="1">IFERROR(__xludf.DUMMYFUNCTION("GOOGLETRANSLATE($C209, ""en"",""tr"")"),"nem")</f>
        <v>nem</v>
      </c>
      <c r="H209" s="4">
        <v>0</v>
      </c>
    </row>
    <row r="210" spans="1:8" x14ac:dyDescent="0.3">
      <c r="A210" s="2">
        <v>208</v>
      </c>
      <c r="B210" s="2" t="s">
        <v>429</v>
      </c>
      <c r="C210" s="2" t="s">
        <v>430</v>
      </c>
      <c r="D210" s="2">
        <v>3.5</v>
      </c>
      <c r="E210" s="4">
        <v>208</v>
      </c>
      <c r="F210" s="4" t="str">
        <f ca="1">IFERROR(__xludf.DUMMYFUNCTION("GOOGLETRANSLATE($B210, ""en"",""tr"")"),"olabilmek")</f>
        <v>olabilmek</v>
      </c>
      <c r="G210" s="4" t="str">
        <f ca="1">IFERROR(__xludf.DUMMYFUNCTION("GOOGLETRANSLATE($C210, ""en"",""tr"")"),"şişe")</f>
        <v>şişe</v>
      </c>
      <c r="H210" s="4">
        <v>3.5</v>
      </c>
    </row>
    <row r="211" spans="1:8" x14ac:dyDescent="0.3">
      <c r="A211" s="2">
        <v>209</v>
      </c>
      <c r="B211" s="2" t="s">
        <v>431</v>
      </c>
      <c r="C211" s="2" t="s">
        <v>432</v>
      </c>
      <c r="D211" s="2">
        <v>2.92</v>
      </c>
      <c r="E211" s="4">
        <v>209</v>
      </c>
      <c r="F211" s="4" t="str">
        <f ca="1">IFERROR(__xludf.DUMMYFUNCTION("GOOGLETRANSLATE($B211, ""en"",""tr"")"),"uçmak")</f>
        <v>uçmak</v>
      </c>
      <c r="G211" s="4" t="str">
        <f ca="1">IFERROR(__xludf.DUMMYFUNCTION("GOOGLETRANSLATE($C211, ""en"",""tr"")"),"karınca")</f>
        <v>karınca</v>
      </c>
      <c r="H211" s="4">
        <v>2.92</v>
      </c>
    </row>
    <row r="212" spans="1:8" x14ac:dyDescent="0.3">
      <c r="A212" s="2">
        <v>210</v>
      </c>
      <c r="B212" s="2" t="s">
        <v>433</v>
      </c>
      <c r="C212" s="2" t="s">
        <v>434</v>
      </c>
      <c r="D212" s="2">
        <v>1.92</v>
      </c>
      <c r="E212" s="4">
        <v>210</v>
      </c>
      <c r="F212" s="4" t="str">
        <f ca="1">IFERROR(__xludf.DUMMYFUNCTION("GOOGLETRANSLATE($B212, ""en"",""tr"")"),"efsane")</f>
        <v>efsane</v>
      </c>
      <c r="G212" s="4" t="str">
        <f ca="1">IFERROR(__xludf.DUMMYFUNCTION("GOOGLETRANSLATE($C212, ""en"",""tr"")"),"hiciv")</f>
        <v>hiciv</v>
      </c>
      <c r="H212" s="4">
        <v>1.92</v>
      </c>
    </row>
    <row r="213" spans="1:8" x14ac:dyDescent="0.3">
      <c r="A213" s="2">
        <v>211</v>
      </c>
      <c r="B213" s="2" t="s">
        <v>435</v>
      </c>
      <c r="C213" s="2" t="s">
        <v>436</v>
      </c>
      <c r="D213" s="2">
        <v>0.75</v>
      </c>
      <c r="E213" s="4">
        <v>211</v>
      </c>
      <c r="F213" s="4" t="str">
        <f ca="1">IFERROR(__xludf.DUMMYFUNCTION("GOOGLETRANSLATE($B213, ""en"",""tr"")"),"şehir merkezi")</f>
        <v>şehir merkezi</v>
      </c>
      <c r="G213" s="4" t="str">
        <f ca="1">IFERROR(__xludf.DUMMYFUNCTION("GOOGLETRANSLATE($C213, ""en"",""tr"")"),"otobüs")</f>
        <v>otobüs</v>
      </c>
      <c r="H213" s="4">
        <v>0.75</v>
      </c>
    </row>
    <row r="214" spans="1:8" x14ac:dyDescent="0.3">
      <c r="A214" s="2">
        <v>212</v>
      </c>
      <c r="B214" s="2" t="s">
        <v>191</v>
      </c>
      <c r="C214" s="2" t="s">
        <v>437</v>
      </c>
      <c r="D214" s="2">
        <v>1.92</v>
      </c>
      <c r="E214" s="4">
        <v>212</v>
      </c>
      <c r="F214" s="4" t="str">
        <f ca="1">IFERROR(__xludf.DUMMYFUNCTION("GOOGLETRANSLATE($B214, ""en"",""tr"")"),"kuyruk")</f>
        <v>kuyruk</v>
      </c>
      <c r="G214" s="4" t="str">
        <f ca="1">IFERROR(__xludf.DUMMYFUNCTION("GOOGLETRANSLATE($C214, ""en"",""tr"")"),"Boeing 747-200")</f>
        <v>Boeing 747-200</v>
      </c>
      <c r="H214" s="4">
        <v>1.92</v>
      </c>
    </row>
    <row r="215" spans="1:8" x14ac:dyDescent="0.3">
      <c r="A215" s="2">
        <v>213</v>
      </c>
      <c r="B215" s="2" t="s">
        <v>438</v>
      </c>
      <c r="C215" s="2" t="s">
        <v>439</v>
      </c>
      <c r="D215" s="2">
        <v>2.33</v>
      </c>
      <c r="E215" s="4">
        <v>213</v>
      </c>
      <c r="F215" s="4" t="str">
        <f ca="1">IFERROR(__xludf.DUMMYFUNCTION("GOOGLETRANSLATE($B215, ""en"",""tr"")"),"sanat eseri")</f>
        <v>sanat eseri</v>
      </c>
      <c r="G215" s="4" t="str">
        <f ca="1">IFERROR(__xludf.DUMMYFUNCTION("GOOGLETRANSLATE($C215, ""en"",""tr"")"),"sanatçı")</f>
        <v>sanatçı</v>
      </c>
      <c r="H215" s="4">
        <v>2.33</v>
      </c>
    </row>
    <row r="216" spans="1:8" x14ac:dyDescent="0.3">
      <c r="A216" s="2">
        <v>214</v>
      </c>
      <c r="B216" s="2" t="s">
        <v>440</v>
      </c>
      <c r="C216" s="2" t="s">
        <v>441</v>
      </c>
      <c r="D216" s="2">
        <v>3</v>
      </c>
      <c r="E216" s="4">
        <v>214</v>
      </c>
      <c r="F216" s="4" t="str">
        <f ca="1">IFERROR(__xludf.DUMMYFUNCTION("GOOGLETRANSLATE($B216, ""en"",""tr"")"),"NATO")</f>
        <v>NATO</v>
      </c>
      <c r="G216" s="4" t="str">
        <f ca="1">IFERROR(__xludf.DUMMYFUNCTION("GOOGLETRANSLATE($C216, ""en"",""tr"")"),"ittifak")</f>
        <v>ittifak</v>
      </c>
      <c r="H216" s="4">
        <v>3</v>
      </c>
    </row>
    <row r="217" spans="1:8" x14ac:dyDescent="0.3">
      <c r="A217" s="2">
        <v>215</v>
      </c>
      <c r="B217" s="2" t="s">
        <v>442</v>
      </c>
      <c r="C217" s="2" t="s">
        <v>443</v>
      </c>
      <c r="D217" s="2">
        <v>3.67</v>
      </c>
      <c r="E217" s="4">
        <v>215</v>
      </c>
      <c r="F217" s="4" t="str">
        <f ca="1">IFERROR(__xludf.DUMMYFUNCTION("GOOGLETRANSLATE($B217, ""en"",""tr"")"),"kral")</f>
        <v>kral</v>
      </c>
      <c r="G217" s="4" t="str">
        <f ca="1">IFERROR(__xludf.DUMMYFUNCTION("GOOGLETRANSLATE($C217, ""en"",""tr"")"),"cetvel")</f>
        <v>cetvel</v>
      </c>
      <c r="H217" s="4">
        <v>3.67</v>
      </c>
    </row>
    <row r="218" spans="1:8" x14ac:dyDescent="0.3">
      <c r="A218" s="2">
        <v>216</v>
      </c>
      <c r="B218" s="2" t="s">
        <v>444</v>
      </c>
      <c r="C218" s="2" t="s">
        <v>445</v>
      </c>
      <c r="D218" s="2">
        <v>3.58</v>
      </c>
      <c r="E218" s="4">
        <v>216</v>
      </c>
      <c r="F218" s="4" t="str">
        <f ca="1">IFERROR(__xludf.DUMMYFUNCTION("GOOGLETRANSLATE($B218, ""en"",""tr"")"),"ritim")</f>
        <v>ritim</v>
      </c>
      <c r="G218" s="4" t="str">
        <f ca="1">IFERROR(__xludf.DUMMYFUNCTION("GOOGLETRANSLATE($C218, ""en"",""tr"")"),"kadans")</f>
        <v>kadans</v>
      </c>
      <c r="H218" s="4">
        <v>3.58</v>
      </c>
    </row>
    <row r="219" spans="1:8" x14ac:dyDescent="0.3">
      <c r="A219" s="2">
        <v>217</v>
      </c>
      <c r="B219" s="2" t="s">
        <v>446</v>
      </c>
      <c r="C219" s="2" t="s">
        <v>447</v>
      </c>
      <c r="D219" s="2">
        <v>2.5</v>
      </c>
      <c r="E219" s="4">
        <v>217</v>
      </c>
      <c r="F219" s="4" t="str">
        <f ca="1">IFERROR(__xludf.DUMMYFUNCTION("GOOGLETRANSLATE($B219, ""en"",""tr"")"),"Alexander Fleming")</f>
        <v>Alexander Fleming</v>
      </c>
      <c r="G219" s="4" t="str">
        <f ca="1">IFERROR(__xludf.DUMMYFUNCTION("GOOGLETRANSLATE($C219, ""en"",""tr"")"),"Penisilin")</f>
        <v>Penisilin</v>
      </c>
      <c r="H219" s="4">
        <v>2.5</v>
      </c>
    </row>
    <row r="220" spans="1:8" x14ac:dyDescent="0.3">
      <c r="A220" s="2">
        <v>218</v>
      </c>
      <c r="B220" s="2" t="s">
        <v>448</v>
      </c>
      <c r="C220" s="2" t="s">
        <v>449</v>
      </c>
      <c r="D220" s="2">
        <v>2.08</v>
      </c>
      <c r="E220" s="4">
        <v>218</v>
      </c>
      <c r="F220" s="4" t="str">
        <f ca="1">IFERROR(__xludf.DUMMYFUNCTION("GOOGLETRANSLATE($B220, ""en"",""tr"")"),"flüt")</f>
        <v>flüt</v>
      </c>
      <c r="G220" s="4" t="str">
        <f ca="1">IFERROR(__xludf.DUMMYFUNCTION("GOOGLETRANSLATE($C220, ""en"",""tr"")"),"müzik")</f>
        <v>müzik</v>
      </c>
      <c r="H220" s="4">
        <v>2.08</v>
      </c>
    </row>
    <row r="221" spans="1:8" x14ac:dyDescent="0.3">
      <c r="A221" s="2">
        <v>219</v>
      </c>
      <c r="B221" s="2" t="s">
        <v>450</v>
      </c>
      <c r="C221" s="2" t="s">
        <v>451</v>
      </c>
      <c r="D221" s="2">
        <v>1.33</v>
      </c>
      <c r="E221" s="4">
        <v>219</v>
      </c>
      <c r="F221" s="4" t="str">
        <f ca="1">IFERROR(__xludf.DUMMYFUNCTION("GOOGLETRANSLATE($B221, ""en"",""tr"")"),"gri balıkçıl")</f>
        <v>gri balıkçıl</v>
      </c>
      <c r="G221" s="4" t="str">
        <f ca="1">IFERROR(__xludf.DUMMYFUNCTION("GOOGLETRANSLATE($C221, ""en"",""tr"")"),"göl")</f>
        <v>göl</v>
      </c>
      <c r="H221" s="4">
        <v>1.33</v>
      </c>
    </row>
    <row r="222" spans="1:8" x14ac:dyDescent="0.3">
      <c r="A222" s="2">
        <v>220</v>
      </c>
      <c r="B222" s="2" t="s">
        <v>452</v>
      </c>
      <c r="C222" s="2" t="s">
        <v>453</v>
      </c>
      <c r="D222" s="2">
        <v>1.92</v>
      </c>
      <c r="E222" s="4">
        <v>220</v>
      </c>
      <c r="F222" s="4" t="str">
        <f ca="1">IFERROR(__xludf.DUMMYFUNCTION("GOOGLETRANSLATE($B222, ""en"",""tr"")"),"viskozite")</f>
        <v>viskozite</v>
      </c>
      <c r="G222" s="4" t="str">
        <f ca="1">IFERROR(__xludf.DUMMYFUNCTION("GOOGLETRANSLATE($C222, ""en"",""tr"")"),"sıçrama")</f>
        <v>sıçrama</v>
      </c>
      <c r="H222" s="4">
        <v>1.92</v>
      </c>
    </row>
    <row r="223" spans="1:8" x14ac:dyDescent="0.3">
      <c r="A223" s="2">
        <v>221</v>
      </c>
      <c r="B223" s="2" t="s">
        <v>454</v>
      </c>
      <c r="C223" s="2" t="s">
        <v>335</v>
      </c>
      <c r="D223" s="2">
        <v>1.67</v>
      </c>
      <c r="E223" s="4">
        <v>221</v>
      </c>
      <c r="F223" s="4" t="str">
        <f ca="1">IFERROR(__xludf.DUMMYFUNCTION("GOOGLETRANSLATE($B223, ""en"",""tr"")"),"donanım")</f>
        <v>donanım</v>
      </c>
      <c r="G223" s="4" t="str">
        <f ca="1">IFERROR(__xludf.DUMMYFUNCTION("GOOGLETRANSLATE($C223, ""en"",""tr"")"),"dava")</f>
        <v>dava</v>
      </c>
      <c r="H223" s="4">
        <v>1.67</v>
      </c>
    </row>
    <row r="224" spans="1:8" x14ac:dyDescent="0.3">
      <c r="A224" s="2">
        <v>222</v>
      </c>
      <c r="B224" s="2" t="s">
        <v>455</v>
      </c>
      <c r="C224" s="2" t="s">
        <v>456</v>
      </c>
      <c r="D224" s="2">
        <v>1.25</v>
      </c>
      <c r="E224" s="4">
        <v>222</v>
      </c>
      <c r="F224" s="4" t="str">
        <f ca="1">IFERROR(__xludf.DUMMYFUNCTION("GOOGLETRANSLATE($B224, ""en"",""tr"")"),"yüzük")</f>
        <v>yüzük</v>
      </c>
      <c r="G224" s="4" t="str">
        <f ca="1">IFERROR(__xludf.DUMMYFUNCTION("GOOGLETRANSLATE($C224, ""en"",""tr"")"),"nişanlanmak")</f>
        <v>nişanlanmak</v>
      </c>
      <c r="H224" s="4">
        <v>1.25</v>
      </c>
    </row>
    <row r="225" spans="1:8" x14ac:dyDescent="0.3">
      <c r="A225" s="2">
        <v>223</v>
      </c>
      <c r="B225" s="2" t="s">
        <v>457</v>
      </c>
      <c r="C225" s="2" t="s">
        <v>458</v>
      </c>
      <c r="D225" s="2">
        <v>2.92</v>
      </c>
      <c r="E225" s="4">
        <v>223</v>
      </c>
      <c r="F225" s="4" t="str">
        <f ca="1">IFERROR(__xludf.DUMMYFUNCTION("GOOGLETRANSLATE($B225, ""en"",""tr"")"),"Latince")</f>
        <v>Latince</v>
      </c>
      <c r="G225" s="4" t="str">
        <f ca="1">IFERROR(__xludf.DUMMYFUNCTION("GOOGLETRANSLATE($C225, ""en"",""tr"")"),"Almanca")</f>
        <v>Almanca</v>
      </c>
      <c r="H225" s="4">
        <v>2.92</v>
      </c>
    </row>
    <row r="226" spans="1:8" x14ac:dyDescent="0.3">
      <c r="A226" s="2">
        <v>224</v>
      </c>
      <c r="B226" s="2" t="s">
        <v>459</v>
      </c>
      <c r="C226" s="2" t="s">
        <v>348</v>
      </c>
      <c r="D226" s="2">
        <v>1.75</v>
      </c>
      <c r="E226" s="4">
        <v>224</v>
      </c>
      <c r="F226" s="4" t="str">
        <f ca="1">IFERROR(__xludf.DUMMYFUNCTION("GOOGLETRANSLATE($B226, ""en"",""tr"")"),"işçi sınıfı")</f>
        <v>işçi sınıfı</v>
      </c>
      <c r="G226" s="4" t="str">
        <f ca="1">IFERROR(__xludf.DUMMYFUNCTION("GOOGLETRANSLATE($C226, ""en"",""tr"")"),"bitki")</f>
        <v>bitki</v>
      </c>
      <c r="H226" s="4">
        <v>1.75</v>
      </c>
    </row>
    <row r="227" spans="1:8" x14ac:dyDescent="0.3">
      <c r="A227" s="2">
        <v>225</v>
      </c>
      <c r="B227" s="2" t="s">
        <v>460</v>
      </c>
      <c r="C227" s="2" t="s">
        <v>461</v>
      </c>
      <c r="D227" s="2">
        <v>3</v>
      </c>
      <c r="E227" s="4">
        <v>225</v>
      </c>
      <c r="F227" s="4" t="str">
        <f ca="1">IFERROR(__xludf.DUMMYFUNCTION("GOOGLETRANSLATE($B227, ""en"",""tr"")"),"Shakespeare")</f>
        <v>Shakespeare</v>
      </c>
      <c r="G227" s="4" t="str">
        <f ca="1">IFERROR(__xludf.DUMMYFUNCTION("GOOGLETRANSLATE($C227, ""en"",""tr"")"),"Dickens")</f>
        <v>Dickens</v>
      </c>
      <c r="H227" s="4">
        <v>3</v>
      </c>
    </row>
    <row r="228" spans="1:8" x14ac:dyDescent="0.3">
      <c r="A228" s="2">
        <v>226</v>
      </c>
      <c r="B228" s="2" t="s">
        <v>462</v>
      </c>
      <c r="C228" s="2" t="s">
        <v>463</v>
      </c>
      <c r="D228" s="2">
        <v>0</v>
      </c>
      <c r="E228" s="4">
        <v>226</v>
      </c>
      <c r="F228" s="4" t="str">
        <f ca="1">IFERROR(__xludf.DUMMYFUNCTION("GOOGLETRANSLATE($B228, ""en"",""tr"")"),"kağıt para")</f>
        <v>kağıt para</v>
      </c>
      <c r="G228" s="4" t="str">
        <f ca="1">IFERROR(__xludf.DUMMYFUNCTION("GOOGLETRANSLATE($C228, ""en"",""tr"")"),"rahip")</f>
        <v>rahip</v>
      </c>
      <c r="H228" s="4">
        <v>0</v>
      </c>
    </row>
    <row r="229" spans="1:8" x14ac:dyDescent="0.3">
      <c r="A229" s="2">
        <v>227</v>
      </c>
      <c r="B229" s="2" t="s">
        <v>464</v>
      </c>
      <c r="C229" s="2" t="s">
        <v>465</v>
      </c>
      <c r="D229" s="2">
        <v>1.08</v>
      </c>
      <c r="E229" s="4">
        <v>227</v>
      </c>
      <c r="F229" s="4" t="str">
        <f ca="1">IFERROR(__xludf.DUMMYFUNCTION("GOOGLETRANSLATE($B229, ""en"",""tr"")"),"alet")</f>
        <v>alet</v>
      </c>
      <c r="G229" s="4" t="str">
        <f ca="1">IFERROR(__xludf.DUMMYFUNCTION("GOOGLETRANSLATE($C229, ""en"",""tr"")"),"iş")</f>
        <v>iş</v>
      </c>
      <c r="H229" s="4">
        <v>1.08</v>
      </c>
    </row>
    <row r="230" spans="1:8" x14ac:dyDescent="0.3">
      <c r="A230" s="2">
        <v>228</v>
      </c>
      <c r="B230" s="2" t="s">
        <v>466</v>
      </c>
      <c r="C230" s="2" t="s">
        <v>467</v>
      </c>
      <c r="D230" s="2">
        <v>3.42</v>
      </c>
      <c r="E230" s="4">
        <v>228</v>
      </c>
      <c r="F230" s="4" t="str">
        <f ca="1">IFERROR(__xludf.DUMMYFUNCTION("GOOGLETRANSLATE($B230, ""en"",""tr"")"),"pigmy domuz")</f>
        <v>pigmy domuz</v>
      </c>
      <c r="G230" s="5" t="s">
        <v>468</v>
      </c>
      <c r="H230" s="4">
        <v>3.42</v>
      </c>
    </row>
    <row r="231" spans="1:8" x14ac:dyDescent="0.3">
      <c r="A231" s="2">
        <v>229</v>
      </c>
      <c r="B231" s="2" t="s">
        <v>469</v>
      </c>
      <c r="C231" s="2" t="s">
        <v>470</v>
      </c>
      <c r="D231" s="2">
        <v>0.08</v>
      </c>
      <c r="E231" s="4">
        <v>229</v>
      </c>
      <c r="F231" s="4" t="str">
        <f ca="1">IFERROR(__xludf.DUMMYFUNCTION("GOOGLETRANSLATE($B231, ""en"",""tr"")"),"oy hakkı")</f>
        <v>oy hakkı</v>
      </c>
      <c r="G231" s="4" t="str">
        <f ca="1">IFERROR(__xludf.DUMMYFUNCTION("GOOGLETRANSLATE($C231, ""en"",""tr"")"),"çıkış")</f>
        <v>çıkış</v>
      </c>
      <c r="H231" s="4">
        <v>0.08</v>
      </c>
    </row>
    <row r="232" spans="1:8" x14ac:dyDescent="0.3">
      <c r="A232" s="2">
        <v>230</v>
      </c>
      <c r="B232" s="2" t="s">
        <v>260</v>
      </c>
      <c r="C232" s="2" t="s">
        <v>471</v>
      </c>
      <c r="D232" s="2">
        <v>1.58</v>
      </c>
      <c r="E232" s="4">
        <v>230</v>
      </c>
      <c r="F232" s="4" t="str">
        <f ca="1">IFERROR(__xludf.DUMMYFUNCTION("GOOGLETRANSLATE($B232, ""en"",""tr"")"),"yıldız")</f>
        <v>yıldız</v>
      </c>
      <c r="G232" s="4" t="str">
        <f ca="1">IFERROR(__xludf.DUMMYFUNCTION("GOOGLETRANSLATE($C232, ""en"",""tr"")"),"parlaklık")</f>
        <v>parlaklık</v>
      </c>
      <c r="H232" s="4">
        <v>1.58</v>
      </c>
    </row>
    <row r="233" spans="1:8" x14ac:dyDescent="0.3">
      <c r="A233" s="2">
        <v>231</v>
      </c>
      <c r="B233" s="2" t="s">
        <v>472</v>
      </c>
      <c r="C233" s="2" t="s">
        <v>403</v>
      </c>
      <c r="D233" s="2">
        <v>0</v>
      </c>
      <c r="E233" s="4">
        <v>231</v>
      </c>
      <c r="F233" s="4" t="str">
        <f ca="1">IFERROR(__xludf.DUMMYFUNCTION("GOOGLETRANSLATE($B233, ""en"",""tr"")"),"alabalık")</f>
        <v>alabalık</v>
      </c>
      <c r="G233" s="4" t="str">
        <f ca="1">IFERROR(__xludf.DUMMYFUNCTION("GOOGLETRANSLATE($C233, ""en"",""tr"")"),"gitar")</f>
        <v>gitar</v>
      </c>
      <c r="H233" s="4">
        <v>0</v>
      </c>
    </row>
    <row r="234" spans="1:8" x14ac:dyDescent="0.3">
      <c r="A234" s="2">
        <v>232</v>
      </c>
      <c r="B234" s="2" t="s">
        <v>473</v>
      </c>
      <c r="C234" s="2" t="s">
        <v>474</v>
      </c>
      <c r="D234" s="2">
        <v>1.75</v>
      </c>
      <c r="E234" s="4">
        <v>232</v>
      </c>
      <c r="F234" s="4" t="str">
        <f ca="1">IFERROR(__xludf.DUMMYFUNCTION("GOOGLETRANSLATE($B234, ""en"",""tr"")"),"dolar")</f>
        <v>dolar</v>
      </c>
      <c r="G234" s="4" t="str">
        <f ca="1">IFERROR(__xludf.DUMMYFUNCTION("GOOGLETRANSLATE($C234, ""en"",""tr"")"),"milyoner")</f>
        <v>milyoner</v>
      </c>
      <c r="H234" s="4">
        <v>1.75</v>
      </c>
    </row>
    <row r="235" spans="1:8" x14ac:dyDescent="0.3">
      <c r="A235" s="2">
        <v>233</v>
      </c>
      <c r="B235" s="2" t="s">
        <v>309</v>
      </c>
      <c r="C235" s="2" t="s">
        <v>475</v>
      </c>
      <c r="D235" s="2">
        <v>3.92</v>
      </c>
      <c r="E235" s="4">
        <v>233</v>
      </c>
      <c r="F235" s="4" t="str">
        <f ca="1">IFERROR(__xludf.DUMMYFUNCTION("GOOGLETRANSLATE($B235, ""en"",""tr"")"),"hane")</f>
        <v>hane</v>
      </c>
      <c r="G235" s="4" t="str">
        <f ca="1">IFERROR(__xludf.DUMMYFUNCTION("GOOGLETRANSLATE($C235, ""en"",""tr"")"),"sayı")</f>
        <v>sayı</v>
      </c>
      <c r="H235" s="4">
        <v>3.92</v>
      </c>
    </row>
    <row r="236" spans="1:8" x14ac:dyDescent="0.3">
      <c r="A236" s="2">
        <v>234</v>
      </c>
      <c r="B236" s="2" t="s">
        <v>476</v>
      </c>
      <c r="C236" s="2" t="s">
        <v>156</v>
      </c>
      <c r="D236" s="2">
        <v>0.42</v>
      </c>
      <c r="E236" s="4">
        <v>234</v>
      </c>
      <c r="F236" s="5" t="s">
        <v>477</v>
      </c>
      <c r="G236" s="4" t="str">
        <f ca="1">IFERROR(__xludf.DUMMYFUNCTION("GOOGLETRANSLATE($C236, ""en"",""tr"")"),"battaniye")</f>
        <v>battaniye</v>
      </c>
      <c r="H236" s="4">
        <v>0.42</v>
      </c>
    </row>
    <row r="237" spans="1:8" x14ac:dyDescent="0.3">
      <c r="A237" s="2">
        <v>235</v>
      </c>
      <c r="B237" s="2" t="s">
        <v>478</v>
      </c>
      <c r="C237" s="2" t="s">
        <v>479</v>
      </c>
      <c r="D237" s="2">
        <v>3.08</v>
      </c>
      <c r="E237" s="4">
        <v>235</v>
      </c>
      <c r="F237" s="4" t="str">
        <f ca="1">IFERROR(__xludf.DUMMYFUNCTION("GOOGLETRANSLATE($B237, ""en"",""tr"")"),"Obama")</f>
        <v>Obama</v>
      </c>
      <c r="G237" s="4" t="str">
        <f ca="1">IFERROR(__xludf.DUMMYFUNCTION("GOOGLETRANSLATE($C237, ""en"",""tr"")"),"Clinton")</f>
        <v>Clinton</v>
      </c>
      <c r="H237" s="4">
        <v>3.08</v>
      </c>
    </row>
    <row r="238" spans="1:8" x14ac:dyDescent="0.3">
      <c r="A238" s="2">
        <v>236</v>
      </c>
      <c r="B238" s="2" t="s">
        <v>480</v>
      </c>
      <c r="C238" s="2" t="s">
        <v>481</v>
      </c>
      <c r="D238" s="2">
        <v>1.67</v>
      </c>
      <c r="E238" s="4">
        <v>236</v>
      </c>
      <c r="F238" s="4" t="str">
        <f ca="1">IFERROR(__xludf.DUMMYFUNCTION("GOOGLETRANSLATE($B238, ""en"",""tr"")"),"destekleyici karakter")</f>
        <v>destekleyici karakter</v>
      </c>
      <c r="G238" s="4" t="str">
        <f ca="1">IFERROR(__xludf.DUMMYFUNCTION("GOOGLETRANSLATE($C238, ""en"",""tr"")"),"film")</f>
        <v>film</v>
      </c>
      <c r="H238" s="4">
        <v>1.67</v>
      </c>
    </row>
    <row r="239" spans="1:8" x14ac:dyDescent="0.3">
      <c r="A239" s="2">
        <v>237</v>
      </c>
      <c r="B239" s="2" t="s">
        <v>482</v>
      </c>
      <c r="C239" s="2" t="s">
        <v>483</v>
      </c>
      <c r="D239" s="2">
        <v>3</v>
      </c>
      <c r="E239" s="4">
        <v>237</v>
      </c>
      <c r="F239" s="4" t="str">
        <f ca="1">IFERROR(__xludf.DUMMYFUNCTION("GOOGLETRANSLATE($B239, ""en"",""tr"")"),"Juventus")</f>
        <v>Juventus</v>
      </c>
      <c r="G239" s="4" t="str">
        <f ca="1">IFERROR(__xludf.DUMMYFUNCTION("GOOGLETRANSLATE($C239, ""en"",""tr"")"),"Bayern Münih")</f>
        <v>Bayern Münih</v>
      </c>
      <c r="H239" s="4">
        <v>3</v>
      </c>
    </row>
    <row r="240" spans="1:8" x14ac:dyDescent="0.3">
      <c r="A240" s="2">
        <v>238</v>
      </c>
      <c r="B240" s="2" t="s">
        <v>484</v>
      </c>
      <c r="C240" s="2" t="s">
        <v>485</v>
      </c>
      <c r="D240" s="2">
        <v>1.58</v>
      </c>
      <c r="E240" s="4">
        <v>238</v>
      </c>
      <c r="F240" s="4" t="str">
        <f ca="1">IFERROR(__xludf.DUMMYFUNCTION("GOOGLETRANSLATE($B240, ""en"",""tr"")"),"iklim değişikliği")</f>
        <v>iklim değişikliği</v>
      </c>
      <c r="G240" s="4" t="str">
        <f ca="1">IFERROR(__xludf.DUMMYFUNCTION("GOOGLETRANSLATE($C240, ""en"",""tr"")"),"yağış")</f>
        <v>yağış</v>
      </c>
      <c r="H240" s="4">
        <v>1.58</v>
      </c>
    </row>
    <row r="241" spans="1:8" x14ac:dyDescent="0.3">
      <c r="A241" s="2">
        <v>239</v>
      </c>
      <c r="B241" s="2" t="s">
        <v>486</v>
      </c>
      <c r="C241" s="2" t="s">
        <v>84</v>
      </c>
      <c r="D241" s="2">
        <v>0.42</v>
      </c>
      <c r="E241" s="4">
        <v>239</v>
      </c>
      <c r="F241" s="5" t="s">
        <v>487</v>
      </c>
      <c r="G241" s="4" t="str">
        <f ca="1">IFERROR(__xludf.DUMMYFUNCTION("GOOGLETRANSLATE($C241, ""en"",""tr"")"),"pil")</f>
        <v>pil</v>
      </c>
      <c r="H241" s="4">
        <v>0.42</v>
      </c>
    </row>
    <row r="242" spans="1:8" x14ac:dyDescent="0.3">
      <c r="A242" s="2">
        <v>240</v>
      </c>
      <c r="B242" s="2" t="s">
        <v>488</v>
      </c>
      <c r="C242" s="2" t="s">
        <v>489</v>
      </c>
      <c r="D242" s="2">
        <v>2.67</v>
      </c>
      <c r="E242" s="4">
        <v>240</v>
      </c>
      <c r="F242" s="4" t="str">
        <f ca="1">IFERROR(__xludf.DUMMYFUNCTION("GOOGLETRANSLATE($B242, ""en"",""tr"")"),"başyapıt")</f>
        <v>başyapıt</v>
      </c>
      <c r="G242" s="4" t="str">
        <f ca="1">IFERROR(__xludf.DUMMYFUNCTION("GOOGLETRANSLATE($C242, ""en"",""tr"")"),"Mona Lisa")</f>
        <v>Mona Lisa</v>
      </c>
      <c r="H242" s="4">
        <v>2.67</v>
      </c>
    </row>
    <row r="243" spans="1:8" x14ac:dyDescent="0.3">
      <c r="A243" s="2">
        <v>241</v>
      </c>
      <c r="B243" s="2" t="s">
        <v>490</v>
      </c>
      <c r="C243" s="2" t="s">
        <v>491</v>
      </c>
      <c r="D243" s="2">
        <v>2.75</v>
      </c>
      <c r="E243" s="4">
        <v>241</v>
      </c>
      <c r="F243" s="4" t="str">
        <f ca="1">IFERROR(__xludf.DUMMYFUNCTION("GOOGLETRANSLATE($B243, ""en"",""tr"")"),"suç")</f>
        <v>suç</v>
      </c>
      <c r="G243" s="4" t="str">
        <f ca="1">IFERROR(__xludf.DUMMYFUNCTION("GOOGLETRANSLATE($C243, ""en"",""tr"")"),"saldırı")</f>
        <v>saldırı</v>
      </c>
      <c r="H243" s="4">
        <v>2.75</v>
      </c>
    </row>
    <row r="244" spans="1:8" x14ac:dyDescent="0.3">
      <c r="A244" s="2">
        <v>242</v>
      </c>
      <c r="B244" s="2" t="s">
        <v>492</v>
      </c>
      <c r="C244" s="2" t="s">
        <v>268</v>
      </c>
      <c r="D244" s="2">
        <v>0</v>
      </c>
      <c r="E244" s="4">
        <v>242</v>
      </c>
      <c r="F244" s="4" t="str">
        <f ca="1">IFERROR(__xludf.DUMMYFUNCTION("GOOGLETRANSLATE($B244, ""en"",""tr"")"),"taç giyme")</f>
        <v>taç giyme</v>
      </c>
      <c r="G244" s="4" t="str">
        <f ca="1">IFERROR(__xludf.DUMMYFUNCTION("GOOGLETRANSLATE($C244, ""en"",""tr"")"),"su")</f>
        <v>su</v>
      </c>
      <c r="H244" s="4">
        <v>0</v>
      </c>
    </row>
    <row r="245" spans="1:8" x14ac:dyDescent="0.3">
      <c r="A245" s="2">
        <v>243</v>
      </c>
      <c r="B245" s="2" t="s">
        <v>493</v>
      </c>
      <c r="C245" s="2" t="s">
        <v>494</v>
      </c>
      <c r="D245" s="2">
        <v>1.75</v>
      </c>
      <c r="E245" s="4">
        <v>243</v>
      </c>
      <c r="F245" s="4" t="str">
        <f ca="1">IFERROR(__xludf.DUMMYFUNCTION("GOOGLETRANSLATE($B245, ""en"",""tr"")"),"vokalist")</f>
        <v>vokalist</v>
      </c>
      <c r="G245" s="4" t="str">
        <f ca="1">IFERROR(__xludf.DUMMYFUNCTION("GOOGLETRANSLATE($C245, ""en"",""tr"")"),"kadro")</f>
        <v>kadro</v>
      </c>
      <c r="H245" s="4">
        <v>1.75</v>
      </c>
    </row>
    <row r="246" spans="1:8" x14ac:dyDescent="0.3">
      <c r="A246" s="2">
        <v>244</v>
      </c>
      <c r="B246" s="2" t="s">
        <v>495</v>
      </c>
      <c r="C246" s="2" t="s">
        <v>496</v>
      </c>
      <c r="D246" s="2">
        <v>1.67</v>
      </c>
      <c r="E246" s="4">
        <v>244</v>
      </c>
      <c r="F246" s="4" t="str">
        <f ca="1">IFERROR(__xludf.DUMMYFUNCTION("GOOGLETRANSLATE($B246, ""en"",""tr"")"),"Final oynamak")</f>
        <v>Final oynamak</v>
      </c>
      <c r="G246" s="4" t="str">
        <f ca="1">IFERROR(__xludf.DUMMYFUNCTION("GOOGLETRANSLATE($C246, ""en"",""tr"")"),"Basketbol")</f>
        <v>Basketbol</v>
      </c>
      <c r="H246" s="4">
        <v>1.67</v>
      </c>
    </row>
    <row r="247" spans="1:8" x14ac:dyDescent="0.3">
      <c r="A247" s="2">
        <v>245</v>
      </c>
      <c r="B247" s="2" t="s">
        <v>497</v>
      </c>
      <c r="C247" s="2" t="s">
        <v>498</v>
      </c>
      <c r="D247" s="2">
        <v>2.33</v>
      </c>
      <c r="E247" s="4">
        <v>245</v>
      </c>
      <c r="F247" s="4" t="str">
        <f ca="1">IFERROR(__xludf.DUMMYFUNCTION("GOOGLETRANSLATE($B247, ""en"",""tr"")"),"silahlı Kuvvetler")</f>
        <v>silahlı Kuvvetler</v>
      </c>
      <c r="G247" s="4" t="str">
        <f ca="1">IFERROR(__xludf.DUMMYFUNCTION("GOOGLETRANSLATE($C247, ""en"",""tr"")"),"savunma")</f>
        <v>savunma</v>
      </c>
      <c r="H247" s="4">
        <v>2.33</v>
      </c>
    </row>
    <row r="248" spans="1:8" x14ac:dyDescent="0.3">
      <c r="A248" s="2">
        <v>246</v>
      </c>
      <c r="B248" s="2" t="s">
        <v>451</v>
      </c>
      <c r="C248" s="2" t="s">
        <v>499</v>
      </c>
      <c r="D248" s="2">
        <v>0.83</v>
      </c>
      <c r="E248" s="4">
        <v>246</v>
      </c>
      <c r="F248" s="4" t="str">
        <f ca="1">IFERROR(__xludf.DUMMYFUNCTION("GOOGLETRANSLATE($B248, ""en"",""tr"")"),"göl")</f>
        <v>göl</v>
      </c>
      <c r="G248" s="4" t="str">
        <f ca="1">IFERROR(__xludf.DUMMYFUNCTION("GOOGLETRANSLATE($C248, ""en"",""tr"")"),"bulut")</f>
        <v>bulut</v>
      </c>
      <c r="H248" s="4">
        <v>0.83</v>
      </c>
    </row>
    <row r="249" spans="1:8" x14ac:dyDescent="0.3">
      <c r="A249" s="2">
        <v>247</v>
      </c>
      <c r="B249" s="2" t="s">
        <v>500</v>
      </c>
      <c r="C249" s="2" t="s">
        <v>501</v>
      </c>
      <c r="D249" s="2">
        <v>0.08</v>
      </c>
      <c r="E249" s="4">
        <v>247</v>
      </c>
      <c r="F249" s="4" t="str">
        <f ca="1">IFERROR(__xludf.DUMMYFUNCTION("GOOGLETRANSLATE($B249, ""en"",""tr"")"),"manastır")</f>
        <v>manastır</v>
      </c>
      <c r="G249" s="4" t="str">
        <f ca="1">IFERROR(__xludf.DUMMYFUNCTION("GOOGLETRANSLATE($C249, ""en"",""tr"")"),"duş")</f>
        <v>duş</v>
      </c>
      <c r="H249" s="4">
        <v>0.08</v>
      </c>
    </row>
    <row r="250" spans="1:8" x14ac:dyDescent="0.3">
      <c r="A250" s="2">
        <v>248</v>
      </c>
      <c r="B250" s="2" t="s">
        <v>502</v>
      </c>
      <c r="C250" s="2" t="s">
        <v>503</v>
      </c>
      <c r="D250" s="2">
        <v>3.17</v>
      </c>
      <c r="E250" s="4">
        <v>248</v>
      </c>
      <c r="F250" s="4" t="str">
        <f ca="1">IFERROR(__xludf.DUMMYFUNCTION("GOOGLETRANSLATE($B250, ""en"",""tr"")"),"ana dil")</f>
        <v>ana dil</v>
      </c>
      <c r="G250" s="4" t="str">
        <f ca="1">IFERROR(__xludf.DUMMYFUNCTION("GOOGLETRANSLATE($C250, ""en"",""tr"")"),"dil")</f>
        <v>dil</v>
      </c>
      <c r="H250" s="4">
        <v>3.17</v>
      </c>
    </row>
    <row r="251" spans="1:8" x14ac:dyDescent="0.3">
      <c r="A251" s="2">
        <v>249</v>
      </c>
      <c r="B251" s="2" t="s">
        <v>504</v>
      </c>
      <c r="C251" s="2" t="s">
        <v>505</v>
      </c>
      <c r="D251" s="2">
        <v>0.08</v>
      </c>
      <c r="E251" s="4">
        <v>249</v>
      </c>
      <c r="F251" s="4" t="str">
        <f ca="1">IFERROR(__xludf.DUMMYFUNCTION("GOOGLETRANSLATE($B251, ""en"",""tr"")"),"liman")</f>
        <v>liman</v>
      </c>
      <c r="G251" s="4" t="str">
        <f ca="1">IFERROR(__xludf.DUMMYFUNCTION("GOOGLETRANSLATE($C251, ""en"",""tr"")"),"sarıcı")</f>
        <v>sarıcı</v>
      </c>
      <c r="H251" s="4">
        <v>0.08</v>
      </c>
    </row>
    <row r="252" spans="1:8" x14ac:dyDescent="0.3">
      <c r="A252" s="2">
        <v>250</v>
      </c>
      <c r="B252" s="2" t="s">
        <v>506</v>
      </c>
      <c r="C252" s="2" t="s">
        <v>507</v>
      </c>
      <c r="D252" s="2">
        <v>2.67</v>
      </c>
      <c r="E252" s="4">
        <v>250</v>
      </c>
      <c r="F252" s="4" t="str">
        <f ca="1">IFERROR(__xludf.DUMMYFUNCTION("GOOGLETRANSLATE($B252, ""en"",""tr"")"),"iblis")</f>
        <v>iblis</v>
      </c>
      <c r="G252" s="4" t="str">
        <f ca="1">IFERROR(__xludf.DUMMYFUNCTION("GOOGLETRANSLATE($C252, ""en"",""tr"")"),"melek")</f>
        <v>melek</v>
      </c>
      <c r="H252" s="4">
        <v>2.67</v>
      </c>
    </row>
    <row r="253" spans="1:8" x14ac:dyDescent="0.3">
      <c r="A253" s="2">
        <v>251</v>
      </c>
      <c r="B253" s="2" t="s">
        <v>508</v>
      </c>
      <c r="C253" s="2" t="s">
        <v>509</v>
      </c>
      <c r="D253" s="2">
        <v>2.33</v>
      </c>
      <c r="E253" s="4">
        <v>251</v>
      </c>
      <c r="F253" s="4" t="str">
        <f ca="1">IFERROR(__xludf.DUMMYFUNCTION("GOOGLETRANSLATE($B253, ""en"",""tr"")"),"kriptogram")</f>
        <v>kriptogram</v>
      </c>
      <c r="G253" s="4" t="str">
        <f ca="1">IFERROR(__xludf.DUMMYFUNCTION("GOOGLETRANSLATE($C253, ""en"",""tr"")"),"sembol")</f>
        <v>sembol</v>
      </c>
      <c r="H253" s="4">
        <v>2.33</v>
      </c>
    </row>
    <row r="254" spans="1:8" x14ac:dyDescent="0.3">
      <c r="A254" s="2">
        <v>252</v>
      </c>
      <c r="B254" s="2" t="s">
        <v>510</v>
      </c>
      <c r="C254" s="2" t="s">
        <v>511</v>
      </c>
      <c r="D254" s="2">
        <v>2.92</v>
      </c>
      <c r="E254" s="4">
        <v>252</v>
      </c>
      <c r="F254" s="4" t="str">
        <f ca="1">IFERROR(__xludf.DUMMYFUNCTION("GOOGLETRANSLATE($B254, ""en"",""tr"")"),"yerleşke")</f>
        <v>yerleşke</v>
      </c>
      <c r="G254" s="4" t="str">
        <f ca="1">IFERROR(__xludf.DUMMYFUNCTION("GOOGLETRANSLATE($C254, ""en"",""tr"")"),"Üniversite")</f>
        <v>Üniversite</v>
      </c>
      <c r="H254" s="4">
        <v>2.92</v>
      </c>
    </row>
    <row r="255" spans="1:8" x14ac:dyDescent="0.3">
      <c r="A255" s="2">
        <v>253</v>
      </c>
      <c r="B255" s="2" t="s">
        <v>306</v>
      </c>
      <c r="C255" s="2" t="s">
        <v>512</v>
      </c>
      <c r="D255" s="2">
        <v>4</v>
      </c>
      <c r="E255" s="4">
        <v>253</v>
      </c>
      <c r="F255" s="4" t="str">
        <f ca="1">IFERROR(__xludf.DUMMYFUNCTION("GOOGLETRANSLATE($B255, ""en"",""tr"")"),"özgürlük")</f>
        <v>özgürlük</v>
      </c>
      <c r="G255" s="4" t="str">
        <f ca="1">IFERROR(__xludf.DUMMYFUNCTION("GOOGLETRANSLATE($C255, ""en"",""tr"")"),"özgürlük")</f>
        <v>özgürlük</v>
      </c>
      <c r="H255" s="4">
        <v>4</v>
      </c>
    </row>
    <row r="256" spans="1:8" x14ac:dyDescent="0.3">
      <c r="A256" s="2">
        <v>254</v>
      </c>
      <c r="B256" s="2" t="s">
        <v>513</v>
      </c>
      <c r="C256" s="2" t="s">
        <v>514</v>
      </c>
      <c r="D256" s="2">
        <v>3.83</v>
      </c>
      <c r="E256" s="4">
        <v>254</v>
      </c>
      <c r="F256" s="4" t="str">
        <f ca="1">IFERROR(__xludf.DUMMYFUNCTION("GOOGLETRANSLATE($B256, ""en"",""tr"")"),"tayfun")</f>
        <v>tayfun</v>
      </c>
      <c r="G256" s="4" t="str">
        <f ca="1">IFERROR(__xludf.DUMMYFUNCTION("GOOGLETRANSLATE($C256, ""en"",""tr"")"),"siklon")</f>
        <v>siklon</v>
      </c>
      <c r="H256" s="4">
        <v>3.83</v>
      </c>
    </row>
    <row r="257" spans="1:8" x14ac:dyDescent="0.3">
      <c r="A257" s="2">
        <v>255</v>
      </c>
      <c r="B257" s="2" t="s">
        <v>515</v>
      </c>
      <c r="C257" s="2" t="s">
        <v>516</v>
      </c>
      <c r="D257" s="2">
        <v>3.92</v>
      </c>
      <c r="E257" s="4">
        <v>255</v>
      </c>
      <c r="F257" s="4" t="str">
        <f ca="1">IFERROR(__xludf.DUMMYFUNCTION("GOOGLETRANSLATE($B257, ""en"",""tr"")"),"el kitabı")</f>
        <v>el kitabı</v>
      </c>
      <c r="G257" s="4" t="str">
        <f ca="1">IFERROR(__xludf.DUMMYFUNCTION("GOOGLETRANSLATE($C257, ""en"",""tr"")"),"rehber kitap")</f>
        <v>rehber kitap</v>
      </c>
      <c r="H257" s="4">
        <v>3.92</v>
      </c>
    </row>
    <row r="258" spans="1:8" x14ac:dyDescent="0.3">
      <c r="A258" s="2">
        <v>256</v>
      </c>
      <c r="B258" s="2" t="s">
        <v>517</v>
      </c>
      <c r="C258" s="2" t="s">
        <v>518</v>
      </c>
      <c r="D258" s="2">
        <v>4</v>
      </c>
      <c r="E258" s="4">
        <v>256</v>
      </c>
      <c r="F258" s="4" t="str">
        <f ca="1">IFERROR(__xludf.DUMMYFUNCTION("GOOGLETRANSLATE($B258, ""en"",""tr"")"),"Ebola")</f>
        <v>Ebola</v>
      </c>
      <c r="G258" s="4" t="str">
        <f ca="1">IFERROR(__xludf.DUMMYFUNCTION("GOOGLETRANSLATE($C258, ""en"",""tr"")"),"Ebola virüsü")</f>
        <v>Ebola virüsü</v>
      </c>
      <c r="H258" s="4">
        <v>4</v>
      </c>
    </row>
    <row r="259" spans="1:8" x14ac:dyDescent="0.3">
      <c r="A259" s="2">
        <v>257</v>
      </c>
      <c r="B259" s="2" t="s">
        <v>519</v>
      </c>
      <c r="C259" s="2" t="s">
        <v>520</v>
      </c>
      <c r="D259" s="2">
        <v>0.08</v>
      </c>
      <c r="E259" s="4">
        <v>257</v>
      </c>
      <c r="F259" s="4" t="str">
        <f ca="1">IFERROR(__xludf.DUMMYFUNCTION("GOOGLETRANSLATE($B259, ""en"",""tr"")"),"prenses")</f>
        <v>prenses</v>
      </c>
      <c r="G259" s="4" t="str">
        <f ca="1">IFERROR(__xludf.DUMMYFUNCTION("GOOGLETRANSLATE($C259, ""en"",""tr"")"),"bisküvi")</f>
        <v>bisküvi</v>
      </c>
      <c r="H259" s="4">
        <v>0.08</v>
      </c>
    </row>
    <row r="260" spans="1:8" x14ac:dyDescent="0.3">
      <c r="A260" s="2">
        <v>258</v>
      </c>
      <c r="B260" s="2" t="s">
        <v>521</v>
      </c>
      <c r="C260" s="2" t="s">
        <v>522</v>
      </c>
      <c r="D260" s="2">
        <v>3.5</v>
      </c>
      <c r="E260" s="4">
        <v>258</v>
      </c>
      <c r="F260" s="4" t="str">
        <f ca="1">IFERROR(__xludf.DUMMYFUNCTION("GOOGLETRANSLATE($B260, ""en"",""tr"")"),"tren")</f>
        <v>tren</v>
      </c>
      <c r="G260" s="4" t="str">
        <f ca="1">IFERROR(__xludf.DUMMYFUNCTION("GOOGLETRANSLATE($C260, ""en"",""tr"")"),"tramvay")</f>
        <v>tramvay</v>
      </c>
      <c r="H260" s="4">
        <v>3.5</v>
      </c>
    </row>
    <row r="261" spans="1:8" x14ac:dyDescent="0.3">
      <c r="A261" s="2">
        <v>259</v>
      </c>
      <c r="B261" s="2" t="s">
        <v>523</v>
      </c>
      <c r="C261" s="2" t="s">
        <v>524</v>
      </c>
      <c r="D261" s="2">
        <v>0.92</v>
      </c>
      <c r="E261" s="4">
        <v>259</v>
      </c>
      <c r="F261" s="4" t="str">
        <f ca="1">IFERROR(__xludf.DUMMYFUNCTION("GOOGLETRANSLATE($B261, ""en"",""tr"")"),"ekosistem")</f>
        <v>ekosistem</v>
      </c>
      <c r="G261" s="4" t="str">
        <f ca="1">IFERROR(__xludf.DUMMYFUNCTION("GOOGLETRANSLATE($C261, ""en"",""tr"")"),"ekonomi")</f>
        <v>ekonomi</v>
      </c>
      <c r="H261" s="4">
        <v>0.92</v>
      </c>
    </row>
    <row r="262" spans="1:8" x14ac:dyDescent="0.3">
      <c r="A262" s="2">
        <v>260</v>
      </c>
      <c r="B262" s="2" t="s">
        <v>525</v>
      </c>
      <c r="C262" s="2" t="s">
        <v>526</v>
      </c>
      <c r="D262" s="2">
        <v>0.92</v>
      </c>
      <c r="E262" s="4">
        <v>260</v>
      </c>
      <c r="F262" s="5" t="s">
        <v>527</v>
      </c>
      <c r="G262" s="4" t="str">
        <f ca="1">IFERROR(__xludf.DUMMYFUNCTION("GOOGLETRANSLATE($C262, ""en"",""tr"")"),"satranç kraliçesi")</f>
        <v>satranç kraliçesi</v>
      </c>
      <c r="H262" s="4">
        <v>0.92</v>
      </c>
    </row>
    <row r="263" spans="1:8" x14ac:dyDescent="0.3">
      <c r="A263" s="2">
        <v>261</v>
      </c>
      <c r="B263" s="2" t="s">
        <v>528</v>
      </c>
      <c r="C263" s="2" t="s">
        <v>529</v>
      </c>
      <c r="D263" s="2">
        <v>3</v>
      </c>
      <c r="E263" s="4">
        <v>261</v>
      </c>
      <c r="F263" s="4" t="str">
        <f ca="1">IFERROR(__xludf.DUMMYFUNCTION("GOOGLETRANSLATE($B263, ""en"",""tr"")"),"altın")</f>
        <v>altın</v>
      </c>
      <c r="G263" s="4" t="str">
        <f ca="1">IFERROR(__xludf.DUMMYFUNCTION("GOOGLETRANSLATE($C263, ""en"",""tr"")"),"çinko")</f>
        <v>çinko</v>
      </c>
      <c r="H263" s="4">
        <v>3</v>
      </c>
    </row>
    <row r="264" spans="1:8" x14ac:dyDescent="0.3">
      <c r="A264" s="2">
        <v>262</v>
      </c>
      <c r="B264" s="2" t="s">
        <v>530</v>
      </c>
      <c r="C264" s="2" t="s">
        <v>531</v>
      </c>
      <c r="D264" s="2">
        <v>0.25</v>
      </c>
      <c r="E264" s="4">
        <v>262</v>
      </c>
      <c r="F264" s="4" t="str">
        <f ca="1">IFERROR(__xludf.DUMMYFUNCTION("GOOGLETRANSLATE($B264, ""en"",""tr"")"),"imleç")</f>
        <v>imleç</v>
      </c>
      <c r="G264" s="4" t="str">
        <f ca="1">IFERROR(__xludf.DUMMYFUNCTION("GOOGLETRANSLATE($C264, ""en"",""tr"")"),"fişek")</f>
        <v>fişek</v>
      </c>
      <c r="H264" s="4">
        <v>0.25</v>
      </c>
    </row>
    <row r="265" spans="1:8" x14ac:dyDescent="0.3">
      <c r="A265" s="2">
        <v>263</v>
      </c>
      <c r="B265" s="2" t="s">
        <v>532</v>
      </c>
      <c r="C265" s="2" t="s">
        <v>533</v>
      </c>
      <c r="D265" s="2">
        <v>3.08</v>
      </c>
      <c r="E265" s="4">
        <v>263</v>
      </c>
      <c r="F265" s="4" t="str">
        <f ca="1">IFERROR(__xludf.DUMMYFUNCTION("GOOGLETRANSLATE($B265, ""en"",""tr"")"),"Amazon")</f>
        <v>Amazon</v>
      </c>
      <c r="G265" s="4" t="str">
        <f ca="1">IFERROR(__xludf.DUMMYFUNCTION("GOOGLETRANSLATE($C265, ""en"",""tr"")"),"orman")</f>
        <v>orman</v>
      </c>
      <c r="H265" s="4">
        <v>3.08</v>
      </c>
    </row>
    <row r="266" spans="1:8" x14ac:dyDescent="0.3">
      <c r="A266" s="2">
        <v>264</v>
      </c>
      <c r="B266" s="2" t="s">
        <v>534</v>
      </c>
      <c r="C266" s="2" t="s">
        <v>535</v>
      </c>
      <c r="D266" s="2">
        <v>0.57999999999999996</v>
      </c>
      <c r="E266" s="4">
        <v>264</v>
      </c>
      <c r="F266" s="4" t="str">
        <f ca="1">IFERROR(__xludf.DUMMYFUNCTION("GOOGLETRANSLATE($B266, ""en"",""tr"")"),"tenis")</f>
        <v>tenis</v>
      </c>
      <c r="G266" s="4" t="str">
        <f ca="1">IFERROR(__xludf.DUMMYFUNCTION("GOOGLETRANSLATE($C266, ""en"",""tr"")"),"İstatistik")</f>
        <v>İstatistik</v>
      </c>
      <c r="H266" s="4">
        <v>0.57999999999999996</v>
      </c>
    </row>
    <row r="267" spans="1:8" x14ac:dyDescent="0.3">
      <c r="A267" s="2">
        <v>265</v>
      </c>
      <c r="B267" s="2" t="s">
        <v>536</v>
      </c>
      <c r="C267" s="2" t="s">
        <v>278</v>
      </c>
      <c r="D267" s="2">
        <v>2.25</v>
      </c>
      <c r="E267" s="4">
        <v>265</v>
      </c>
      <c r="F267" s="4" t="str">
        <f ca="1">IFERROR(__xludf.DUMMYFUNCTION("GOOGLETRANSLATE($B267, ""en"",""tr"")"),"Bolzano")</f>
        <v>Bolzano</v>
      </c>
      <c r="G267" s="4" t="str">
        <f ca="1">IFERROR(__xludf.DUMMYFUNCTION("GOOGLETRANSLATE($C267, ""en"",""tr"")"),"teorem")</f>
        <v>teorem</v>
      </c>
      <c r="H267" s="4">
        <v>2.25</v>
      </c>
    </row>
    <row r="268" spans="1:8" x14ac:dyDescent="0.3">
      <c r="A268" s="2">
        <v>266</v>
      </c>
      <c r="B268" s="2" t="s">
        <v>537</v>
      </c>
      <c r="C268" s="2" t="s">
        <v>538</v>
      </c>
      <c r="D268" s="2">
        <v>0.08</v>
      </c>
      <c r="E268" s="4">
        <v>266</v>
      </c>
      <c r="F268" s="4" t="str">
        <f ca="1">IFERROR(__xludf.DUMMYFUNCTION("GOOGLETRANSLATE($B268, ""en"",""tr"")"),"yükseklik")</f>
        <v>yükseklik</v>
      </c>
      <c r="G268" s="4" t="str">
        <f ca="1">IFERROR(__xludf.DUMMYFUNCTION("GOOGLETRANSLATE($C268, ""en"",""tr"")"),"dönüştürmek")</f>
        <v>dönüştürmek</v>
      </c>
      <c r="H268" s="4">
        <v>0.08</v>
      </c>
    </row>
    <row r="269" spans="1:8" x14ac:dyDescent="0.3">
      <c r="A269" s="2">
        <v>267</v>
      </c>
      <c r="B269" s="2" t="s">
        <v>539</v>
      </c>
      <c r="C269" s="2" t="s">
        <v>540</v>
      </c>
      <c r="D269" s="2">
        <v>0.25</v>
      </c>
      <c r="E269" s="4">
        <v>267</v>
      </c>
      <c r="F269" s="4" t="str">
        <f ca="1">IFERROR(__xludf.DUMMYFUNCTION("GOOGLETRANSLATE($B269, ""en"",""tr"")"),"bot")</f>
        <v>bot</v>
      </c>
      <c r="G269" s="4" t="str">
        <f ca="1">IFERROR(__xludf.DUMMYFUNCTION("GOOGLETRANSLATE($C269, ""en"",""tr"")"),"ağaç")</f>
        <v>ağaç</v>
      </c>
      <c r="H269" s="4">
        <v>0.25</v>
      </c>
    </row>
    <row r="270" spans="1:8" x14ac:dyDescent="0.3">
      <c r="A270" s="2">
        <v>268</v>
      </c>
      <c r="B270" s="2" t="s">
        <v>541</v>
      </c>
      <c r="C270" s="2" t="s">
        <v>209</v>
      </c>
      <c r="D270" s="2">
        <v>1</v>
      </c>
      <c r="E270" s="4">
        <v>268</v>
      </c>
      <c r="F270" s="4" t="str">
        <f ca="1">IFERROR(__xludf.DUMMYFUNCTION("GOOGLETRANSLATE($B270, ""en"",""tr"")"),"taht")</f>
        <v>taht</v>
      </c>
      <c r="G270" s="4" t="str">
        <f ca="1">IFERROR(__xludf.DUMMYFUNCTION("GOOGLETRANSLATE($C270, ""en"",""tr"")"),"kılıç")</f>
        <v>kılıç</v>
      </c>
      <c r="H270" s="4">
        <v>1</v>
      </c>
    </row>
    <row r="271" spans="1:8" x14ac:dyDescent="0.3">
      <c r="A271" s="2">
        <v>269</v>
      </c>
      <c r="B271" s="2" t="s">
        <v>188</v>
      </c>
      <c r="C271" s="2" t="s">
        <v>542</v>
      </c>
      <c r="D271" s="2">
        <v>1.83</v>
      </c>
      <c r="E271" s="4">
        <v>269</v>
      </c>
      <c r="F271" s="4" t="str">
        <f ca="1">IFERROR(__xludf.DUMMYFUNCTION("GOOGLETRANSLATE($B271, ""en"",""tr"")"),"pamuk")</f>
        <v>pamuk</v>
      </c>
      <c r="G271" s="4" t="str">
        <f ca="1">IFERROR(__xludf.DUMMYFUNCTION("GOOGLETRANSLATE($C271, ""en"",""tr"")"),"Kazak")</f>
        <v>Kazak</v>
      </c>
      <c r="H271" s="4">
        <v>1.83</v>
      </c>
    </row>
    <row r="272" spans="1:8" x14ac:dyDescent="0.3">
      <c r="A272" s="2">
        <v>270</v>
      </c>
      <c r="B272" s="2" t="s">
        <v>543</v>
      </c>
      <c r="C272" s="2" t="s">
        <v>544</v>
      </c>
      <c r="D272" s="2">
        <v>3</v>
      </c>
      <c r="E272" s="4">
        <v>270</v>
      </c>
      <c r="F272" s="4" t="str">
        <f ca="1">IFERROR(__xludf.DUMMYFUNCTION("GOOGLETRANSLATE($B272, ""en"",""tr"")"),"Kiraz")</f>
        <v>Kiraz</v>
      </c>
      <c r="G272" s="4" t="str">
        <f ca="1">IFERROR(__xludf.DUMMYFUNCTION("GOOGLETRANSLATE($C272, ""en"",""tr"")"),"çilek")</f>
        <v>çilek</v>
      </c>
      <c r="H272" s="4">
        <v>3</v>
      </c>
    </row>
    <row r="273" spans="1:8" x14ac:dyDescent="0.3">
      <c r="A273" s="2">
        <v>271</v>
      </c>
      <c r="B273" s="2" t="s">
        <v>545</v>
      </c>
      <c r="C273" s="2" t="s">
        <v>546</v>
      </c>
      <c r="D273" s="2">
        <v>2.5</v>
      </c>
      <c r="E273" s="4">
        <v>271</v>
      </c>
      <c r="F273" s="4" t="str">
        <f ca="1">IFERROR(__xludf.DUMMYFUNCTION("GOOGLETRANSLATE($B273, ""en"",""tr"")"),"İslâm")</f>
        <v>İslâm</v>
      </c>
      <c r="G273" s="4" t="str">
        <f ca="1">IFERROR(__xludf.DUMMYFUNCTION("GOOGLETRANSLATE($C273, ""en"",""tr"")"),"Kur'an")</f>
        <v>Kur'an</v>
      </c>
      <c r="H273" s="4">
        <v>2.5</v>
      </c>
    </row>
    <row r="274" spans="1:8" x14ac:dyDescent="0.3">
      <c r="A274" s="2">
        <v>272</v>
      </c>
      <c r="B274" s="2" t="s">
        <v>547</v>
      </c>
      <c r="C274" s="2" t="s">
        <v>548</v>
      </c>
      <c r="D274" s="2">
        <v>0</v>
      </c>
      <c r="E274" s="4">
        <v>272</v>
      </c>
      <c r="F274" s="4" t="str">
        <f ca="1">IFERROR(__xludf.DUMMYFUNCTION("GOOGLETRANSLATE($B274, ""en"",""tr"")"),"Neandertal")</f>
        <v>Neandertal</v>
      </c>
      <c r="G274" s="4" t="str">
        <f ca="1">IFERROR(__xludf.DUMMYFUNCTION("GOOGLETRANSLATE($C274, ""en"",""tr"")"),"spor")</f>
        <v>spor</v>
      </c>
      <c r="H274" s="4">
        <v>0</v>
      </c>
    </row>
    <row r="275" spans="1:8" x14ac:dyDescent="0.3">
      <c r="A275" s="2">
        <v>273</v>
      </c>
      <c r="B275" s="2" t="s">
        <v>549</v>
      </c>
      <c r="C275" s="2" t="s">
        <v>442</v>
      </c>
      <c r="D275" s="2">
        <v>1.42</v>
      </c>
      <c r="E275" s="4">
        <v>273</v>
      </c>
      <c r="F275" s="4" t="str">
        <f ca="1">IFERROR(__xludf.DUMMYFUNCTION("GOOGLETRANSLATE($B275, ""en"",""tr"")"),"kayırmacılık")</f>
        <v>kayırmacılık</v>
      </c>
      <c r="G275" s="4" t="str">
        <f ca="1">IFERROR(__xludf.DUMMYFUNCTION("GOOGLETRANSLATE($C275, ""en"",""tr"")"),"kral")</f>
        <v>kral</v>
      </c>
      <c r="H275" s="4">
        <v>1.42</v>
      </c>
    </row>
    <row r="276" spans="1:8" x14ac:dyDescent="0.3">
      <c r="A276" s="2">
        <v>274</v>
      </c>
      <c r="B276" s="2" t="s">
        <v>550</v>
      </c>
      <c r="C276" s="2" t="s">
        <v>373</v>
      </c>
      <c r="D276" s="2">
        <v>2.67</v>
      </c>
      <c r="E276" s="4">
        <v>274</v>
      </c>
      <c r="F276" s="4" t="str">
        <f ca="1">IFERROR(__xludf.DUMMYFUNCTION("GOOGLETRANSLATE($B276, ""en"",""tr"")"),"karakter")</f>
        <v>karakter</v>
      </c>
      <c r="G276" s="4" t="str">
        <f ca="1">IFERROR(__xludf.DUMMYFUNCTION("GOOGLETRANSLATE($C276, ""en"",""tr"")"),"kişi")</f>
        <v>kişi</v>
      </c>
      <c r="H276" s="4">
        <v>2.67</v>
      </c>
    </row>
    <row r="277" spans="1:8" x14ac:dyDescent="0.3">
      <c r="A277" s="2">
        <v>275</v>
      </c>
      <c r="B277" s="2" t="s">
        <v>551</v>
      </c>
      <c r="C277" s="2" t="s">
        <v>7</v>
      </c>
      <c r="D277" s="2">
        <v>2.33</v>
      </c>
      <c r="E277" s="4">
        <v>275</v>
      </c>
      <c r="F277" s="4" t="str">
        <f ca="1">IFERROR(__xludf.DUMMYFUNCTION("GOOGLETRANSLATE($B277, ""en"",""tr"")"),"tank")</f>
        <v>tank</v>
      </c>
      <c r="G277" s="4" t="str">
        <f ca="1">IFERROR(__xludf.DUMMYFUNCTION("GOOGLETRANSLATE($C277, ""en"",""tr"")"),"araba")</f>
        <v>araba</v>
      </c>
      <c r="H277" s="4">
        <v>2.33</v>
      </c>
    </row>
    <row r="278" spans="1:8" x14ac:dyDescent="0.3">
      <c r="A278" s="2">
        <v>276</v>
      </c>
      <c r="B278" s="2" t="s">
        <v>552</v>
      </c>
      <c r="C278" s="2" t="s">
        <v>553</v>
      </c>
      <c r="D278" s="2">
        <v>3.17</v>
      </c>
      <c r="E278" s="4">
        <v>276</v>
      </c>
      <c r="F278" s="4" t="str">
        <f ca="1">IFERROR(__xludf.DUMMYFUNCTION("GOOGLETRANSLATE($B278, ""en"",""tr"")"),"Merkür")</f>
        <v>Merkür</v>
      </c>
      <c r="G278" s="4" t="str">
        <f ca="1">IFERROR(__xludf.DUMMYFUNCTION("GOOGLETRANSLATE($C278, ""en"",""tr"")"),"Jüpiter")</f>
        <v>Jüpiter</v>
      </c>
      <c r="H278" s="4">
        <v>3.17</v>
      </c>
    </row>
    <row r="279" spans="1:8" x14ac:dyDescent="0.3">
      <c r="A279" s="2">
        <v>277</v>
      </c>
      <c r="B279" s="2" t="s">
        <v>554</v>
      </c>
      <c r="C279" s="2" t="s">
        <v>555</v>
      </c>
      <c r="D279" s="2">
        <v>1.67</v>
      </c>
      <c r="E279" s="4">
        <v>277</v>
      </c>
      <c r="F279" s="4" t="str">
        <f ca="1">IFERROR(__xludf.DUMMYFUNCTION("GOOGLETRANSLATE($B279, ""en"",""tr"")"),"bronşit")</f>
        <v>bronşit</v>
      </c>
      <c r="G279" s="5" t="s">
        <v>556</v>
      </c>
      <c r="H279" s="4">
        <v>1.67</v>
      </c>
    </row>
    <row r="280" spans="1:8" x14ac:dyDescent="0.3">
      <c r="A280" s="2">
        <v>278</v>
      </c>
      <c r="B280" s="2" t="s">
        <v>206</v>
      </c>
      <c r="C280" s="2" t="s">
        <v>557</v>
      </c>
      <c r="D280" s="2">
        <v>2</v>
      </c>
      <c r="E280" s="4">
        <v>278</v>
      </c>
      <c r="F280" s="4" t="str">
        <f ca="1">IFERROR(__xludf.DUMMYFUNCTION("GOOGLETRANSLATE($B280, ""en"",""tr"")"),"kan")</f>
        <v>kan</v>
      </c>
      <c r="G280" s="4" t="str">
        <f ca="1">IFERROR(__xludf.DUMMYFUNCTION("GOOGLETRANSLATE($C280, ""en"",""tr"")"),"vücut")</f>
        <v>vücut</v>
      </c>
      <c r="H280" s="4">
        <v>2</v>
      </c>
    </row>
    <row r="281" spans="1:8" x14ac:dyDescent="0.3">
      <c r="A281" s="2">
        <v>279</v>
      </c>
      <c r="B281" s="2" t="s">
        <v>558</v>
      </c>
      <c r="C281" s="2" t="s">
        <v>559</v>
      </c>
      <c r="D281" s="2">
        <v>1.92</v>
      </c>
      <c r="E281" s="4">
        <v>279</v>
      </c>
      <c r="F281" s="4" t="str">
        <f ca="1">IFERROR(__xludf.DUMMYFUNCTION("GOOGLETRANSLATE($B281, ""en"",""tr"")"),"İslamofobi")</f>
        <v>İslamofobi</v>
      </c>
      <c r="G281" s="5" t="s">
        <v>560</v>
      </c>
      <c r="H281" s="4">
        <v>1.92</v>
      </c>
    </row>
    <row r="282" spans="1:8" x14ac:dyDescent="0.3">
      <c r="A282" s="2">
        <v>280</v>
      </c>
      <c r="B282" s="2" t="s">
        <v>561</v>
      </c>
      <c r="C282" s="2" t="s">
        <v>562</v>
      </c>
      <c r="D282" s="2">
        <v>1.17</v>
      </c>
      <c r="E282" s="4">
        <v>280</v>
      </c>
      <c r="F282" s="4" t="str">
        <f ca="1">IFERROR(__xludf.DUMMYFUNCTION("GOOGLETRANSLATE($B282, ""en"",""tr"")"),"tığ işi")</f>
        <v>tığ işi</v>
      </c>
      <c r="G282" s="4" t="str">
        <f ca="1">IFERROR(__xludf.DUMMYFUNCTION("GOOGLETRANSLATE($C282, ""en"",""tr"")"),"üniforma")</f>
        <v>üniforma</v>
      </c>
      <c r="H282" s="4">
        <v>1.17</v>
      </c>
    </row>
    <row r="283" spans="1:8" x14ac:dyDescent="0.3">
      <c r="A283" s="2">
        <v>281</v>
      </c>
      <c r="B283" s="2" t="s">
        <v>563</v>
      </c>
      <c r="C283" s="2" t="s">
        <v>564</v>
      </c>
      <c r="D283" s="2">
        <v>0.67</v>
      </c>
      <c r="E283" s="4">
        <v>281</v>
      </c>
      <c r="F283" s="4" t="str">
        <f ca="1">IFERROR(__xludf.DUMMYFUNCTION("GOOGLETRANSLATE($B283, ""en"",""tr"")"),"Hadoop")</f>
        <v>Hadoop</v>
      </c>
      <c r="G283" s="4" t="str">
        <f ca="1">IFERROR(__xludf.DUMMYFUNCTION("GOOGLETRANSLATE($C283, ""en"",""tr"")"),"dokunmatik ekran")</f>
        <v>dokunmatik ekran</v>
      </c>
      <c r="H283" s="4">
        <v>0.67</v>
      </c>
    </row>
    <row r="284" spans="1:8" x14ac:dyDescent="0.3">
      <c r="A284" s="2">
        <v>282</v>
      </c>
      <c r="B284" s="2" t="s">
        <v>565</v>
      </c>
      <c r="C284" s="2" t="s">
        <v>566</v>
      </c>
      <c r="D284" s="2">
        <v>2.08</v>
      </c>
      <c r="E284" s="4">
        <v>282</v>
      </c>
      <c r="F284" s="4" t="str">
        <f ca="1">IFERROR(__xludf.DUMMYFUNCTION("GOOGLETRANSLATE($B284, ""en"",""tr"")"),"fosil yakıt")</f>
        <v>fosil yakıt</v>
      </c>
      <c r="G284" s="4" t="str">
        <f ca="1">IFERROR(__xludf.DUMMYFUNCTION("GOOGLETRANSLATE($C284, ""en"",""tr"")"),"fosil")</f>
        <v>fosil</v>
      </c>
      <c r="H284" s="4">
        <v>2.08</v>
      </c>
    </row>
    <row r="285" spans="1:8" x14ac:dyDescent="0.3">
      <c r="A285" s="2">
        <v>283</v>
      </c>
      <c r="B285" s="2" t="s">
        <v>567</v>
      </c>
      <c r="C285" s="2" t="s">
        <v>568</v>
      </c>
      <c r="D285" s="2">
        <v>0.75</v>
      </c>
      <c r="E285" s="4">
        <v>283</v>
      </c>
      <c r="F285" s="4" t="str">
        <f ca="1">IFERROR(__xludf.DUMMYFUNCTION("GOOGLETRANSLATE($B285, ""en"",""tr"")"),"mutant")</f>
        <v>mutant</v>
      </c>
      <c r="G285" s="4" t="str">
        <f ca="1">IFERROR(__xludf.DUMMYFUNCTION("GOOGLETRANSLATE($C285, ""en"",""tr"")"),"sosyobiyoloji")</f>
        <v>sosyobiyoloji</v>
      </c>
      <c r="H285" s="4">
        <v>0.75</v>
      </c>
    </row>
    <row r="286" spans="1:8" x14ac:dyDescent="0.3">
      <c r="A286" s="2">
        <v>284</v>
      </c>
      <c r="B286" s="2" t="s">
        <v>569</v>
      </c>
      <c r="C286" s="2" t="s">
        <v>570</v>
      </c>
      <c r="D286" s="2">
        <v>2.67</v>
      </c>
      <c r="E286" s="4">
        <v>284</v>
      </c>
      <c r="F286" s="4" t="str">
        <f ca="1">IFERROR(__xludf.DUMMYFUNCTION("GOOGLETRANSLATE($B286, ""en"",""tr"")"),"kız kardeş")</f>
        <v>kız kardeş</v>
      </c>
      <c r="G286" s="4" t="str">
        <f ca="1">IFERROR(__xludf.DUMMYFUNCTION("GOOGLETRANSLATE($C286, ""en"",""tr"")"),"Erkek kardeş")</f>
        <v>Erkek kardeş</v>
      </c>
      <c r="H286" s="4">
        <v>2.67</v>
      </c>
    </row>
    <row r="287" spans="1:8" x14ac:dyDescent="0.3">
      <c r="A287" s="2">
        <v>285</v>
      </c>
      <c r="B287" s="2" t="s">
        <v>571</v>
      </c>
      <c r="C287" s="2" t="s">
        <v>572</v>
      </c>
      <c r="D287" s="2">
        <v>1.08</v>
      </c>
      <c r="E287" s="4">
        <v>285</v>
      </c>
      <c r="F287" s="4" t="str">
        <f ca="1">IFERROR(__xludf.DUMMYFUNCTION("GOOGLETRANSLATE($B287, ""en"",""tr"")"),"kalem")</f>
        <v>kalem</v>
      </c>
      <c r="G287" s="4" t="str">
        <f ca="1">IFERROR(__xludf.DUMMYFUNCTION("GOOGLETRANSLATE($C287, ""en"",""tr"")"),"hikaye")</f>
        <v>hikaye</v>
      </c>
      <c r="H287" s="4">
        <v>1.08</v>
      </c>
    </row>
    <row r="288" spans="1:8" x14ac:dyDescent="0.3">
      <c r="A288" s="2">
        <v>286</v>
      </c>
      <c r="B288" s="2" t="s">
        <v>573</v>
      </c>
      <c r="C288" s="2" t="s">
        <v>574</v>
      </c>
      <c r="D288" s="2">
        <v>4</v>
      </c>
      <c r="E288" s="4">
        <v>286</v>
      </c>
      <c r="F288" s="4" t="str">
        <f ca="1">IFERROR(__xludf.DUMMYFUNCTION("GOOGLETRANSLATE($B288, ""en"",""tr"")"),"egzama")</f>
        <v>egzama</v>
      </c>
      <c r="G288" s="4" t="str">
        <f ca="1">IFERROR(__xludf.DUMMYFUNCTION("GOOGLETRANSLATE($C288, ""en"",""tr"")"),"dermatit")</f>
        <v>dermatit</v>
      </c>
      <c r="H288" s="4">
        <v>4</v>
      </c>
    </row>
    <row r="289" spans="1:8" x14ac:dyDescent="0.3">
      <c r="A289" s="2">
        <v>287</v>
      </c>
      <c r="B289" s="2" t="s">
        <v>575</v>
      </c>
      <c r="C289" s="2" t="s">
        <v>576</v>
      </c>
      <c r="D289" s="2">
        <v>3.67</v>
      </c>
      <c r="E289" s="4">
        <v>287</v>
      </c>
      <c r="F289" s="4" t="str">
        <f ca="1">IFERROR(__xludf.DUMMYFUNCTION("GOOGLETRANSLATE($B289, ""en"",""tr"")"),"imparator")</f>
        <v>imparator</v>
      </c>
      <c r="G289" s="4" t="str">
        <f ca="1">IFERROR(__xludf.DUMMYFUNCTION("GOOGLETRANSLATE($C289, ""en"",""tr"")"),"Vali")</f>
        <v>Vali</v>
      </c>
      <c r="H289" s="4">
        <v>3.67</v>
      </c>
    </row>
    <row r="290" spans="1:8" x14ac:dyDescent="0.3">
      <c r="A290" s="2">
        <v>288</v>
      </c>
      <c r="B290" s="2" t="s">
        <v>577</v>
      </c>
      <c r="C290" s="2" t="s">
        <v>578</v>
      </c>
      <c r="D290" s="2">
        <v>0.25</v>
      </c>
      <c r="E290" s="4">
        <v>288</v>
      </c>
      <c r="F290" s="4" t="str">
        <f ca="1">IFERROR(__xludf.DUMMYFUNCTION("GOOGLETRANSLATE($B290, ""en"",""tr"")"),"taç")</f>
        <v>taç</v>
      </c>
      <c r="G290" s="4" t="str">
        <f ca="1">IFERROR(__xludf.DUMMYFUNCTION("GOOGLETRANSLATE($C290, ""en"",""tr"")"),"anahtar")</f>
        <v>anahtar</v>
      </c>
      <c r="H290" s="4">
        <v>0.25</v>
      </c>
    </row>
    <row r="291" spans="1:8" x14ac:dyDescent="0.3">
      <c r="A291" s="2">
        <v>289</v>
      </c>
      <c r="B291" s="2" t="s">
        <v>579</v>
      </c>
      <c r="C291" s="2" t="s">
        <v>580</v>
      </c>
      <c r="D291" s="2">
        <v>1.67</v>
      </c>
      <c r="E291" s="4">
        <v>289</v>
      </c>
      <c r="F291" s="4" t="str">
        <f ca="1">IFERROR(__xludf.DUMMYFUNCTION("GOOGLETRANSLATE($B291, ""en"",""tr"")"),"cebir")</f>
        <v>cebir</v>
      </c>
      <c r="G291" s="4" t="str">
        <f ca="1">IFERROR(__xludf.DUMMYFUNCTION("GOOGLETRANSLATE($C291, ""en"",""tr"")"),"operasyon")</f>
        <v>operasyon</v>
      </c>
      <c r="H291" s="4">
        <v>1.67</v>
      </c>
    </row>
    <row r="292" spans="1:8" x14ac:dyDescent="0.3">
      <c r="A292" s="2">
        <v>290</v>
      </c>
      <c r="B292" s="2" t="s">
        <v>581</v>
      </c>
      <c r="C292" s="2" t="s">
        <v>582</v>
      </c>
      <c r="D292" s="2">
        <v>2.33</v>
      </c>
      <c r="E292" s="4">
        <v>290</v>
      </c>
      <c r="F292" s="4" t="str">
        <f ca="1">IFERROR(__xludf.DUMMYFUNCTION("GOOGLETRANSLATE($B292, ""en"",""tr"")"),"piston")</f>
        <v>piston</v>
      </c>
      <c r="G292" s="4" t="str">
        <f ca="1">IFERROR(__xludf.DUMMYFUNCTION("GOOGLETRANSLATE($C292, ""en"",""tr"")"),"motor")</f>
        <v>motor</v>
      </c>
      <c r="H292" s="4">
        <v>2.33</v>
      </c>
    </row>
    <row r="293" spans="1:8" x14ac:dyDescent="0.3">
      <c r="A293" s="2">
        <v>291</v>
      </c>
      <c r="B293" s="2" t="s">
        <v>583</v>
      </c>
      <c r="C293" s="2" t="s">
        <v>584</v>
      </c>
      <c r="D293" s="2">
        <v>2.42</v>
      </c>
      <c r="E293" s="4">
        <v>291</v>
      </c>
      <c r="F293" s="4" t="str">
        <f ca="1">IFERROR(__xludf.DUMMYFUNCTION("GOOGLETRANSLATE($B293, ""en"",""tr"")"),"burs")</f>
        <v>burs</v>
      </c>
      <c r="G293" s="4" t="str">
        <f ca="1">IFERROR(__xludf.DUMMYFUNCTION("GOOGLETRANSLATE($C293, ""en"",""tr"")"),"öğrenim")</f>
        <v>öğrenim</v>
      </c>
      <c r="H293" s="4">
        <v>2.42</v>
      </c>
    </row>
    <row r="294" spans="1:8" x14ac:dyDescent="0.3">
      <c r="A294" s="2">
        <v>292</v>
      </c>
      <c r="B294" s="2" t="s">
        <v>194</v>
      </c>
      <c r="C294" s="2" t="s">
        <v>585</v>
      </c>
      <c r="D294" s="2">
        <v>3.17</v>
      </c>
      <c r="E294" s="4">
        <v>292</v>
      </c>
      <c r="F294" s="4" t="str">
        <f ca="1">IFERROR(__xludf.DUMMYFUNCTION("GOOGLETRANSLATE($B294, ""en"",""tr"")"),"kitap")</f>
        <v>kitap</v>
      </c>
      <c r="G294" s="4" t="str">
        <f ca="1">IFERROR(__xludf.DUMMYFUNCTION("GOOGLETRANSLATE($C294, ""en"",""tr"")"),"el yazması")</f>
        <v>el yazması</v>
      </c>
      <c r="H294" s="4">
        <v>3.17</v>
      </c>
    </row>
    <row r="295" spans="1:8" x14ac:dyDescent="0.3">
      <c r="A295" s="2">
        <v>293</v>
      </c>
      <c r="B295" s="2" t="s">
        <v>586</v>
      </c>
      <c r="C295" s="2" t="s">
        <v>587</v>
      </c>
      <c r="D295" s="2">
        <v>3</v>
      </c>
      <c r="E295" s="4">
        <v>293</v>
      </c>
      <c r="F295" s="4" t="str">
        <f ca="1">IFERROR(__xludf.DUMMYFUNCTION("GOOGLETRANSLATE($B295, ""en"",""tr"")"),"Lantana")</f>
        <v>Lantana</v>
      </c>
      <c r="G295" s="4" t="str">
        <f ca="1">IFERROR(__xludf.DUMMYFUNCTION("GOOGLETRANSLATE($C295, ""en"",""tr"")"),"aslanağzı")</f>
        <v>aslanağzı</v>
      </c>
      <c r="H295" s="4">
        <v>3</v>
      </c>
    </row>
    <row r="296" spans="1:8" x14ac:dyDescent="0.3">
      <c r="A296" s="2">
        <v>294</v>
      </c>
      <c r="B296" s="2" t="s">
        <v>588</v>
      </c>
      <c r="C296" s="2" t="s">
        <v>589</v>
      </c>
      <c r="D296" s="2">
        <v>2.33</v>
      </c>
      <c r="E296" s="4">
        <v>294</v>
      </c>
      <c r="F296" s="4" t="str">
        <f ca="1">IFERROR(__xludf.DUMMYFUNCTION("GOOGLETRANSLATE($B296, ""en"",""tr"")"),"Kara delik")</f>
        <v>Kara delik</v>
      </c>
      <c r="G296" s="4" t="str">
        <f ca="1">IFERROR(__xludf.DUMMYFUNCTION("GOOGLETRANSLATE($C296, ""en"",""tr"")"),"vakum")</f>
        <v>vakum</v>
      </c>
      <c r="H296" s="4">
        <v>2.33</v>
      </c>
    </row>
    <row r="297" spans="1:8" x14ac:dyDescent="0.3">
      <c r="A297" s="2">
        <v>295</v>
      </c>
      <c r="B297" s="2" t="s">
        <v>590</v>
      </c>
      <c r="C297" s="2" t="s">
        <v>591</v>
      </c>
      <c r="D297" s="2">
        <v>1.83</v>
      </c>
      <c r="E297" s="4">
        <v>295</v>
      </c>
      <c r="F297" s="4" t="str">
        <f ca="1">IFERROR(__xludf.DUMMYFUNCTION("GOOGLETRANSLATE($B297, ""en"",""tr"")"),"Pers imparatorluğu")</f>
        <v>Pers imparatorluğu</v>
      </c>
      <c r="G297" s="4" t="str">
        <f ca="1">IFERROR(__xludf.DUMMYFUNCTION("GOOGLETRANSLATE($C297, ""en"",""tr"")"),"Cyrus")</f>
        <v>Cyrus</v>
      </c>
      <c r="H297" s="4">
        <v>1.83</v>
      </c>
    </row>
    <row r="298" spans="1:8" x14ac:dyDescent="0.3">
      <c r="A298" s="2">
        <v>296</v>
      </c>
      <c r="B298" s="2" t="s">
        <v>592</v>
      </c>
      <c r="C298" s="2" t="s">
        <v>593</v>
      </c>
      <c r="D298" s="2">
        <v>2.42</v>
      </c>
      <c r="E298" s="4">
        <v>296</v>
      </c>
      <c r="F298" s="4" t="str">
        <f ca="1">IFERROR(__xludf.DUMMYFUNCTION("GOOGLETRANSLATE($B298, ""en"",""tr"")"),"başyazı")</f>
        <v>başyazı</v>
      </c>
      <c r="G298" s="4" t="str">
        <f ca="1">IFERROR(__xludf.DUMMYFUNCTION("GOOGLETRANSLATE($C298, ""en"",""tr"")"),"haberler")</f>
        <v>haberler</v>
      </c>
      <c r="H298" s="4">
        <v>2.42</v>
      </c>
    </row>
    <row r="299" spans="1:8" x14ac:dyDescent="0.3">
      <c r="A299" s="2">
        <v>297</v>
      </c>
      <c r="B299" s="2" t="s">
        <v>594</v>
      </c>
      <c r="C299" s="2" t="s">
        <v>595</v>
      </c>
      <c r="D299" s="2">
        <v>0.08</v>
      </c>
      <c r="E299" s="4">
        <v>297</v>
      </c>
      <c r="F299" s="4" t="str">
        <f ca="1">IFERROR(__xludf.DUMMYFUNCTION("GOOGLETRANSLATE($B299, ""en"",""tr"")"),"dekorasyon")</f>
        <v>dekorasyon</v>
      </c>
      <c r="G299" s="4" t="str">
        <f ca="1">IFERROR(__xludf.DUMMYFUNCTION("GOOGLETRANSLATE($C299, ""en"",""tr"")"),"mektup")</f>
        <v>mektup</v>
      </c>
      <c r="H299" s="4">
        <v>0.08</v>
      </c>
    </row>
    <row r="300" spans="1:8" x14ac:dyDescent="0.3">
      <c r="A300" s="2">
        <v>298</v>
      </c>
      <c r="B300" s="2" t="s">
        <v>596</v>
      </c>
      <c r="C300" s="2" t="s">
        <v>597</v>
      </c>
      <c r="D300" s="2">
        <v>2.25</v>
      </c>
      <c r="E300" s="4">
        <v>298</v>
      </c>
      <c r="F300" s="4" t="str">
        <f ca="1">IFERROR(__xludf.DUMMYFUNCTION("GOOGLETRANSLATE($B300, ""en"",""tr"")"),"balina köpekbalığı")</f>
        <v>balina köpekbalığı</v>
      </c>
      <c r="G300" s="4" t="str">
        <f ca="1">IFERROR(__xludf.DUMMYFUNCTION("GOOGLETRANSLATE($C300, ""en"",""tr"")"),"Istakoz")</f>
        <v>Istakoz</v>
      </c>
      <c r="H300" s="4">
        <v>2.25</v>
      </c>
    </row>
    <row r="301" spans="1:8" x14ac:dyDescent="0.3">
      <c r="A301" s="2">
        <v>299</v>
      </c>
      <c r="B301" s="2" t="s">
        <v>598</v>
      </c>
      <c r="C301" s="2" t="s">
        <v>599</v>
      </c>
      <c r="D301" s="2">
        <v>4</v>
      </c>
      <c r="E301" s="4">
        <v>299</v>
      </c>
      <c r="F301" s="4" t="str">
        <f ca="1">IFERROR(__xludf.DUMMYFUNCTION("GOOGLETRANSLATE($B301, ""en"",""tr"")"),"Mısır")</f>
        <v>Mısır</v>
      </c>
      <c r="G301" s="4" t="str">
        <f ca="1">IFERROR(__xludf.DUMMYFUNCTION("GOOGLETRANSLATE($C301, ""en"",""tr"")"),"mısır")</f>
        <v>mısır</v>
      </c>
      <c r="H301" s="4">
        <v>4</v>
      </c>
    </row>
    <row r="302" spans="1:8" x14ac:dyDescent="0.3">
      <c r="A302" s="2">
        <v>300</v>
      </c>
      <c r="B302" s="2" t="s">
        <v>600</v>
      </c>
      <c r="C302" s="2" t="s">
        <v>601</v>
      </c>
      <c r="D302" s="2">
        <v>2.25</v>
      </c>
      <c r="E302" s="4">
        <v>300</v>
      </c>
      <c r="F302" s="5" t="s">
        <v>602</v>
      </c>
      <c r="G302" s="4" t="str">
        <f ca="1">IFERROR(__xludf.DUMMYFUNCTION("GOOGLETRANSLATE($C302, ""en"",""tr"")"),"sorun")</f>
        <v>sorun</v>
      </c>
      <c r="H302" s="4">
        <v>2.25</v>
      </c>
    </row>
    <row r="303" spans="1:8" x14ac:dyDescent="0.3">
      <c r="A303" s="2">
        <v>301</v>
      </c>
      <c r="B303" s="2" t="s">
        <v>603</v>
      </c>
      <c r="C303" s="2" t="s">
        <v>170</v>
      </c>
      <c r="D303" s="2">
        <v>2.67</v>
      </c>
      <c r="E303" s="4">
        <v>301</v>
      </c>
      <c r="F303" s="4" t="str">
        <f ca="1">IFERROR(__xludf.DUMMYFUNCTION("GOOGLETRANSLATE($B303, ""en"",""tr"")"),"asit")</f>
        <v>asit</v>
      </c>
      <c r="G303" s="4" t="str">
        <f ca="1">IFERROR(__xludf.DUMMYFUNCTION("GOOGLETRANSLATE($C303, ""en"",""tr"")"),"temel")</f>
        <v>temel</v>
      </c>
      <c r="H303" s="4">
        <v>2.67</v>
      </c>
    </row>
    <row r="304" spans="1:8" x14ac:dyDescent="0.3">
      <c r="A304" s="2">
        <v>302</v>
      </c>
      <c r="B304" s="2" t="s">
        <v>604</v>
      </c>
      <c r="C304" s="2" t="s">
        <v>605</v>
      </c>
      <c r="D304" s="2">
        <v>1.42</v>
      </c>
      <c r="E304" s="4">
        <v>302</v>
      </c>
      <c r="F304" s="4" t="str">
        <f ca="1">IFERROR(__xludf.DUMMYFUNCTION("GOOGLETRANSLATE($B304, ""en"",""tr"")"),"tamamen sıfır")</f>
        <v>tamamen sıfır</v>
      </c>
      <c r="G304" s="4" t="str">
        <f ca="1">IFERROR(__xludf.DUMMYFUNCTION("GOOGLETRANSLATE($C304, ""en"",""tr"")"),"buhar")</f>
        <v>buhar</v>
      </c>
      <c r="H304" s="4">
        <v>1.42</v>
      </c>
    </row>
    <row r="305" spans="1:8" x14ac:dyDescent="0.3">
      <c r="A305" s="2">
        <v>303</v>
      </c>
      <c r="B305" s="2" t="s">
        <v>606</v>
      </c>
      <c r="C305" s="2" t="s">
        <v>607</v>
      </c>
      <c r="D305" s="2">
        <v>0</v>
      </c>
      <c r="E305" s="4">
        <v>303</v>
      </c>
      <c r="F305" s="4" t="str">
        <f ca="1">IFERROR(__xludf.DUMMYFUNCTION("GOOGLETRANSLATE($B305, ""en"",""tr"")"),"Yeşil devrim")</f>
        <v>Yeşil devrim</v>
      </c>
      <c r="G305" s="4" t="str">
        <f ca="1">IFERROR(__xludf.DUMMYFUNCTION("GOOGLETRANSLATE($C305, ""en"",""tr"")"),"boyamak")</f>
        <v>boyamak</v>
      </c>
      <c r="H305" s="4">
        <v>0</v>
      </c>
    </row>
    <row r="306" spans="1:8" x14ac:dyDescent="0.3">
      <c r="A306" s="2">
        <v>304</v>
      </c>
      <c r="B306" s="2" t="s">
        <v>608</v>
      </c>
      <c r="C306" s="2" t="s">
        <v>609</v>
      </c>
      <c r="D306" s="2">
        <v>1.5</v>
      </c>
      <c r="E306" s="4">
        <v>304</v>
      </c>
      <c r="F306" s="4" t="str">
        <f ca="1">IFERROR(__xludf.DUMMYFUNCTION("GOOGLETRANSLATE($B306, ""en"",""tr"")"),"işletim sistemi")</f>
        <v>işletim sistemi</v>
      </c>
      <c r="G306" s="4" t="str">
        <f ca="1">IFERROR(__xludf.DUMMYFUNCTION("GOOGLETRANSLATE($C306, ""en"",""tr"")"),"derin öğrenme")</f>
        <v>derin öğrenme</v>
      </c>
      <c r="H306" s="4">
        <v>1.5</v>
      </c>
    </row>
    <row r="307" spans="1:8" x14ac:dyDescent="0.3">
      <c r="A307" s="2">
        <v>305</v>
      </c>
      <c r="B307" s="2" t="s">
        <v>610</v>
      </c>
      <c r="C307" s="2" t="s">
        <v>58</v>
      </c>
      <c r="D307" s="2">
        <v>1</v>
      </c>
      <c r="E307" s="4">
        <v>305</v>
      </c>
      <c r="F307" s="4" t="str">
        <f ca="1">IFERROR(__xludf.DUMMYFUNCTION("GOOGLETRANSLATE($B307, ""en"",""tr"")"),"Uluslararası Matematik Olimpiyatı")</f>
        <v>Uluslararası Matematik Olimpiyatı</v>
      </c>
      <c r="G307" s="4" t="str">
        <f ca="1">IFERROR(__xludf.DUMMYFUNCTION("GOOGLETRANSLATE($C307, ""en"",""tr"")"),"teori")</f>
        <v>teori</v>
      </c>
      <c r="H307" s="4">
        <v>1</v>
      </c>
    </row>
    <row r="308" spans="1:8" x14ac:dyDescent="0.3">
      <c r="A308" s="2">
        <v>306</v>
      </c>
      <c r="B308" s="2" t="s">
        <v>611</v>
      </c>
      <c r="C308" s="2" t="s">
        <v>93</v>
      </c>
      <c r="D308" s="2">
        <v>0.83</v>
      </c>
      <c r="E308" s="4">
        <v>306</v>
      </c>
      <c r="F308" s="4" t="str">
        <f ca="1">IFERROR(__xludf.DUMMYFUNCTION("GOOGLETRANSLATE($B308, ""en"",""tr"")"),"El Niño")</f>
        <v>El Niño</v>
      </c>
      <c r="G308" s="4" t="str">
        <f ca="1">IFERROR(__xludf.DUMMYFUNCTION("GOOGLETRANSLATE($C308, ""en"",""tr"")"),"ekvator")</f>
        <v>ekvator</v>
      </c>
      <c r="H308" s="4">
        <v>0.83</v>
      </c>
    </row>
    <row r="309" spans="1:8" x14ac:dyDescent="0.3">
      <c r="A309" s="2">
        <v>307</v>
      </c>
      <c r="B309" s="2" t="s">
        <v>612</v>
      </c>
      <c r="C309" s="2" t="s">
        <v>613</v>
      </c>
      <c r="D309" s="2">
        <v>0</v>
      </c>
      <c r="E309" s="4">
        <v>307</v>
      </c>
      <c r="F309" s="4" t="str">
        <f ca="1">IFERROR(__xludf.DUMMYFUNCTION("GOOGLETRANSLATE($B309, ""en"",""tr"")"),"rozet")</f>
        <v>rozet</v>
      </c>
      <c r="G309" s="4" t="str">
        <f ca="1">IFERROR(__xludf.DUMMYFUNCTION("GOOGLETRANSLATE($C309, ""en"",""tr"")"),"bardak")</f>
        <v>bardak</v>
      </c>
      <c r="H309" s="4">
        <v>0</v>
      </c>
    </row>
    <row r="310" spans="1:8" x14ac:dyDescent="0.3">
      <c r="A310" s="2">
        <v>308</v>
      </c>
      <c r="B310" s="2" t="s">
        <v>614</v>
      </c>
      <c r="C310" s="2" t="s">
        <v>615</v>
      </c>
      <c r="D310" s="2">
        <v>1</v>
      </c>
      <c r="E310" s="4">
        <v>308</v>
      </c>
      <c r="F310" s="4" t="str">
        <f ca="1">IFERROR(__xludf.DUMMYFUNCTION("GOOGLETRANSLATE($B310, ""en"",""tr"")"),"konak")</f>
        <v>konak</v>
      </c>
      <c r="G310" s="4" t="str">
        <f ca="1">IFERROR(__xludf.DUMMYFUNCTION("GOOGLETRANSLATE($C310, ""en"",""tr"")"),"heykeltıraş")</f>
        <v>heykeltıraş</v>
      </c>
      <c r="H310" s="4">
        <v>1</v>
      </c>
    </row>
    <row r="311" spans="1:8" x14ac:dyDescent="0.3">
      <c r="A311" s="2">
        <v>309</v>
      </c>
      <c r="B311" s="2" t="s">
        <v>616</v>
      </c>
      <c r="C311" s="2" t="s">
        <v>617</v>
      </c>
      <c r="D311" s="2">
        <v>2.58</v>
      </c>
      <c r="E311" s="4">
        <v>309</v>
      </c>
      <c r="F311" s="4" t="str">
        <f ca="1">IFERROR(__xludf.DUMMYFUNCTION("GOOGLETRANSLATE($B311, ""en"",""tr"")"),"atmosfer")</f>
        <v>atmosfer</v>
      </c>
      <c r="G311" s="4" t="str">
        <f ca="1">IFERROR(__xludf.DUMMYFUNCTION("GOOGLETRANSLATE($C311, ""en"",""tr"")"),"ozon")</f>
        <v>ozon</v>
      </c>
      <c r="H311" s="4">
        <v>2.58</v>
      </c>
    </row>
    <row r="312" spans="1:8" x14ac:dyDescent="0.3">
      <c r="A312" s="2">
        <v>310</v>
      </c>
      <c r="B312" s="2" t="s">
        <v>618</v>
      </c>
      <c r="C312" s="2" t="s">
        <v>619</v>
      </c>
      <c r="D312" s="2">
        <v>3.67</v>
      </c>
      <c r="E312" s="4">
        <v>310</v>
      </c>
      <c r="F312" s="4" t="str">
        <f ca="1">IFERROR(__xludf.DUMMYFUNCTION("GOOGLETRANSLATE($B312, ""en"",""tr"")"),"kalkan")</f>
        <v>kalkan</v>
      </c>
      <c r="G312" s="4" t="str">
        <f ca="1">IFERROR(__xludf.DUMMYFUNCTION("GOOGLETRANSLATE($C312, ""en"",""tr"")"),"palavracı")</f>
        <v>palavracı</v>
      </c>
      <c r="H312" s="4">
        <v>3.67</v>
      </c>
    </row>
    <row r="313" spans="1:8" x14ac:dyDescent="0.3">
      <c r="A313" s="2">
        <v>311</v>
      </c>
      <c r="B313" s="2" t="s">
        <v>620</v>
      </c>
      <c r="C313" s="2" t="s">
        <v>621</v>
      </c>
      <c r="D313" s="2">
        <v>1.75</v>
      </c>
      <c r="E313" s="4">
        <v>311</v>
      </c>
      <c r="F313" s="4" t="str">
        <f ca="1">IFERROR(__xludf.DUMMYFUNCTION("GOOGLETRANSLATE($B313, ""en"",""tr"")"),"madeni para")</f>
        <v>madeni para</v>
      </c>
      <c r="G313" s="4" t="str">
        <f ca="1">IFERROR(__xludf.DUMMYFUNCTION("GOOGLETRANSLATE($C313, ""en"",""tr"")"),"ödeme")</f>
        <v>ödeme</v>
      </c>
      <c r="H313" s="4">
        <v>1.75</v>
      </c>
    </row>
    <row r="314" spans="1:8" x14ac:dyDescent="0.3">
      <c r="A314" s="2">
        <v>312</v>
      </c>
      <c r="B314" s="2" t="s">
        <v>622</v>
      </c>
      <c r="C314" s="2" t="s">
        <v>623</v>
      </c>
      <c r="D314" s="2">
        <v>1.17</v>
      </c>
      <c r="E314" s="4">
        <v>312</v>
      </c>
      <c r="F314" s="4" t="str">
        <f ca="1">IFERROR(__xludf.DUMMYFUNCTION("GOOGLETRANSLATE($B314, ""en"",""tr"")"),"yulaf")</f>
        <v>yulaf</v>
      </c>
      <c r="G314" s="4" t="str">
        <f ca="1">IFERROR(__xludf.DUMMYFUNCTION("GOOGLETRANSLATE($C314, ""en"",""tr"")"),"alan")</f>
        <v>alan</v>
      </c>
      <c r="H314" s="4">
        <v>1.17</v>
      </c>
    </row>
    <row r="315" spans="1:8" x14ac:dyDescent="0.3">
      <c r="A315" s="2">
        <v>313</v>
      </c>
      <c r="B315" s="2" t="s">
        <v>624</v>
      </c>
      <c r="C315" s="2" t="s">
        <v>625</v>
      </c>
      <c r="D315" s="2">
        <v>0.33</v>
      </c>
      <c r="E315" s="4">
        <v>313</v>
      </c>
      <c r="F315" s="4" t="str">
        <f ca="1">IFERROR(__xludf.DUMMYFUNCTION("GOOGLETRANSLATE($B315, ""en"",""tr"")"),"keşiş")</f>
        <v>keşiş</v>
      </c>
      <c r="G315" s="4" t="str">
        <f ca="1">IFERROR(__xludf.DUMMYFUNCTION("GOOGLETRANSLATE($C315, ""en"",""tr"")"),"geçmek")</f>
        <v>geçmek</v>
      </c>
      <c r="H315" s="4">
        <v>0.33</v>
      </c>
    </row>
    <row r="316" spans="1:8" x14ac:dyDescent="0.3">
      <c r="A316" s="2">
        <v>314</v>
      </c>
      <c r="B316" s="2" t="s">
        <v>626</v>
      </c>
      <c r="C316" s="2" t="s">
        <v>627</v>
      </c>
      <c r="D316" s="2">
        <v>1.42</v>
      </c>
      <c r="E316" s="4">
        <v>314</v>
      </c>
      <c r="F316" s="4" t="str">
        <f ca="1">IFERROR(__xludf.DUMMYFUNCTION("GOOGLETRANSLATE($B316, ""en"",""tr"")"),"silahlı tekne")</f>
        <v>silahlı tekne</v>
      </c>
      <c r="G316" s="4" t="str">
        <f ca="1">IFERROR(__xludf.DUMMYFUNCTION("GOOGLETRANSLATE($C316, ""en"",""tr"")"),"sahil")</f>
        <v>sahil</v>
      </c>
      <c r="H316" s="4">
        <v>1.42</v>
      </c>
    </row>
    <row r="317" spans="1:8" x14ac:dyDescent="0.3">
      <c r="A317" s="2">
        <v>315</v>
      </c>
      <c r="B317" s="2" t="s">
        <v>628</v>
      </c>
      <c r="C317" s="2" t="s">
        <v>629</v>
      </c>
      <c r="D317" s="2">
        <v>1.75</v>
      </c>
      <c r="E317" s="4">
        <v>315</v>
      </c>
      <c r="F317" s="5" t="s">
        <v>630</v>
      </c>
      <c r="G317" s="5" t="s">
        <v>631</v>
      </c>
      <c r="H317" s="4">
        <v>1.75</v>
      </c>
    </row>
    <row r="318" spans="1:8" x14ac:dyDescent="0.3">
      <c r="A318" s="2">
        <v>316</v>
      </c>
      <c r="B318" s="2" t="s">
        <v>632</v>
      </c>
      <c r="C318" s="2" t="s">
        <v>633</v>
      </c>
      <c r="D318" s="2">
        <v>1</v>
      </c>
      <c r="E318" s="4">
        <v>316</v>
      </c>
      <c r="F318" s="4" t="str">
        <f ca="1">IFERROR(__xludf.DUMMYFUNCTION("GOOGLETRANSLATE($B318, ""en"",""tr"")"),"efsane")</f>
        <v>efsane</v>
      </c>
      <c r="G318" s="4" t="str">
        <f ca="1">IFERROR(__xludf.DUMMYFUNCTION("GOOGLETRANSLATE($C318, ""en"",""tr"")"),"ahlak")</f>
        <v>ahlak</v>
      </c>
      <c r="H318" s="4">
        <v>1</v>
      </c>
    </row>
    <row r="319" spans="1:8" x14ac:dyDescent="0.3">
      <c r="A319" s="2">
        <v>317</v>
      </c>
      <c r="B319" s="2" t="s">
        <v>634</v>
      </c>
      <c r="C319" s="2" t="s">
        <v>635</v>
      </c>
      <c r="D319" s="2">
        <v>3.75</v>
      </c>
      <c r="E319" s="4">
        <v>317</v>
      </c>
      <c r="F319" s="4" t="str">
        <f ca="1">IFERROR(__xludf.DUMMYFUNCTION("GOOGLETRANSLATE($B319, ""en"",""tr"")"),"şampiyon")</f>
        <v>şampiyon</v>
      </c>
      <c r="G319" s="4" t="str">
        <f ca="1">IFERROR(__xludf.DUMMYFUNCTION("GOOGLETRANSLATE($C319, ""en"",""tr"")"),"kazanan")</f>
        <v>kazanan</v>
      </c>
      <c r="H319" s="4">
        <v>3.75</v>
      </c>
    </row>
    <row r="320" spans="1:8" x14ac:dyDescent="0.3">
      <c r="A320" s="2">
        <v>318</v>
      </c>
      <c r="B320" s="2" t="s">
        <v>636</v>
      </c>
      <c r="C320" s="2" t="s">
        <v>637</v>
      </c>
      <c r="D320" s="2">
        <v>3</v>
      </c>
      <c r="E320" s="4">
        <v>318</v>
      </c>
      <c r="F320" s="4" t="str">
        <f ca="1">IFERROR(__xludf.DUMMYFUNCTION("GOOGLETRANSLATE($B320, ""en"",""tr"")"),"zar")</f>
        <v>zar</v>
      </c>
      <c r="G320" s="4" t="str">
        <f ca="1">IFERROR(__xludf.DUMMYFUNCTION("GOOGLETRANSLATE($C320, ""en"",""tr"")"),"küp")</f>
        <v>küp</v>
      </c>
      <c r="H320" s="4">
        <v>3</v>
      </c>
    </row>
    <row r="321" spans="1:8" x14ac:dyDescent="0.3">
      <c r="A321" s="2">
        <v>319</v>
      </c>
      <c r="B321" s="2" t="s">
        <v>638</v>
      </c>
      <c r="C321" s="2" t="s">
        <v>639</v>
      </c>
      <c r="D321" s="2">
        <v>1.83</v>
      </c>
      <c r="E321" s="4">
        <v>319</v>
      </c>
      <c r="F321" s="4" t="str">
        <f ca="1">IFERROR(__xludf.DUMMYFUNCTION("GOOGLETRANSLATE($B321, ""en"",""tr"")"),"topoloji")</f>
        <v>topoloji</v>
      </c>
      <c r="G321" s="4" t="str">
        <f ca="1">IFERROR(__xludf.DUMMYFUNCTION("GOOGLETRANSLATE($C321, ""en"",""tr"")"),"yapı")</f>
        <v>yapı</v>
      </c>
      <c r="H321" s="4">
        <v>1.83</v>
      </c>
    </row>
    <row r="322" spans="1:8" x14ac:dyDescent="0.3">
      <c r="A322" s="2">
        <v>320</v>
      </c>
      <c r="B322" s="2" t="s">
        <v>640</v>
      </c>
      <c r="C322" s="2" t="s">
        <v>342</v>
      </c>
      <c r="D322" s="2">
        <v>0.25</v>
      </c>
      <c r="E322" s="4">
        <v>320</v>
      </c>
      <c r="F322" s="4" t="str">
        <f ca="1">IFERROR(__xludf.DUMMYFUNCTION("GOOGLETRANSLATE($B322, ""en"",""tr"")"),"şapel")</f>
        <v>şapel</v>
      </c>
      <c r="G322" s="4" t="str">
        <f ca="1">IFERROR(__xludf.DUMMYFUNCTION("GOOGLETRANSLATE($C322, ""en"",""tr"")"),"kablo")</f>
        <v>kablo</v>
      </c>
      <c r="H322" s="4">
        <v>0.25</v>
      </c>
    </row>
    <row r="323" spans="1:8" x14ac:dyDescent="0.3">
      <c r="A323" s="2">
        <v>321</v>
      </c>
      <c r="B323" s="2" t="s">
        <v>641</v>
      </c>
      <c r="C323" s="2" t="s">
        <v>642</v>
      </c>
      <c r="D323" s="2">
        <v>0</v>
      </c>
      <c r="E323" s="4">
        <v>321</v>
      </c>
      <c r="F323" s="4" t="str">
        <f ca="1">IFERROR(__xludf.DUMMYFUNCTION("GOOGLETRANSLATE($B323, ""en"",""tr"")"),"nakit akımı")</f>
        <v>nakit akımı</v>
      </c>
      <c r="G323" s="4" t="str">
        <f ca="1">IFERROR(__xludf.DUMMYFUNCTION("GOOGLETRANSLATE($C323, ""en"",""tr"")"),"nehir")</f>
        <v>nehir</v>
      </c>
      <c r="H323" s="4">
        <v>0</v>
      </c>
    </row>
    <row r="324" spans="1:8" x14ac:dyDescent="0.3">
      <c r="A324" s="2">
        <v>322</v>
      </c>
      <c r="B324" s="2" t="s">
        <v>643</v>
      </c>
      <c r="C324" s="2" t="s">
        <v>644</v>
      </c>
      <c r="D324" s="2">
        <v>3.5</v>
      </c>
      <c r="E324" s="4">
        <v>322</v>
      </c>
      <c r="F324" s="4" t="str">
        <f ca="1">IFERROR(__xludf.DUMMYFUNCTION("GOOGLETRANSLATE($B324, ""en"",""tr"")"),"seri katil")</f>
        <v>seri katil</v>
      </c>
      <c r="G324" s="4" t="str">
        <f ca="1">IFERROR(__xludf.DUMMYFUNCTION("GOOGLETRANSLATE($C324, ""en"",""tr"")"),"katil")</f>
        <v>katil</v>
      </c>
      <c r="H324" s="4">
        <v>3.5</v>
      </c>
    </row>
    <row r="325" spans="1:8" x14ac:dyDescent="0.3">
      <c r="A325" s="2">
        <v>323</v>
      </c>
      <c r="B325" s="2" t="s">
        <v>645</v>
      </c>
      <c r="C325" s="2" t="s">
        <v>646</v>
      </c>
      <c r="D325" s="2">
        <v>0</v>
      </c>
      <c r="E325" s="4">
        <v>323</v>
      </c>
      <c r="F325" s="4" t="str">
        <f ca="1">IFERROR(__xludf.DUMMYFUNCTION("GOOGLETRANSLATE($B325, ""en"",""tr"")"),"matris")</f>
        <v>matris</v>
      </c>
      <c r="G325" s="4" t="str">
        <f ca="1">IFERROR(__xludf.DUMMYFUNCTION("GOOGLETRANSLATE($C325, ""en"",""tr"")"),"molekül")</f>
        <v>molekül</v>
      </c>
      <c r="H325" s="4">
        <v>0</v>
      </c>
    </row>
    <row r="326" spans="1:8" x14ac:dyDescent="0.3">
      <c r="A326" s="2">
        <v>324</v>
      </c>
      <c r="B326" s="2" t="s">
        <v>647</v>
      </c>
      <c r="C326" s="2" t="s">
        <v>648</v>
      </c>
      <c r="D326" s="2">
        <v>3.17</v>
      </c>
      <c r="E326" s="4">
        <v>324</v>
      </c>
      <c r="F326" s="4" t="str">
        <f ca="1">IFERROR(__xludf.DUMMYFUNCTION("GOOGLETRANSLATE($B326, ""en"",""tr"")"),"moda")</f>
        <v>moda</v>
      </c>
      <c r="G326" s="4" t="str">
        <f ca="1">IFERROR(__xludf.DUMMYFUNCTION("GOOGLETRANSLATE($C326, ""en"",""tr"")"),"stil")</f>
        <v>stil</v>
      </c>
      <c r="H326" s="4">
        <v>3.17</v>
      </c>
    </row>
    <row r="327" spans="1:8" x14ac:dyDescent="0.3">
      <c r="A327" s="2">
        <v>325</v>
      </c>
      <c r="B327" s="2" t="s">
        <v>649</v>
      </c>
      <c r="C327" s="2" t="s">
        <v>251</v>
      </c>
      <c r="D327" s="2">
        <v>2.33</v>
      </c>
      <c r="E327" s="4">
        <v>325</v>
      </c>
      <c r="F327" s="4" t="str">
        <f ca="1">IFERROR(__xludf.DUMMYFUNCTION("GOOGLETRANSLATE($B327, ""en"",""tr"")"),"can sıkıntısı")</f>
        <v>can sıkıntısı</v>
      </c>
      <c r="G327" s="4" t="str">
        <f ca="1">IFERROR(__xludf.DUMMYFUNCTION("GOOGLETRANSLATE($C327, ""en"",""tr"")"),"bayrak")</f>
        <v>bayrak</v>
      </c>
      <c r="H327" s="4">
        <v>2.33</v>
      </c>
    </row>
    <row r="328" spans="1:8" x14ac:dyDescent="0.3">
      <c r="A328" s="2">
        <v>326</v>
      </c>
      <c r="B328" s="2" t="s">
        <v>650</v>
      </c>
      <c r="C328" s="2" t="s">
        <v>651</v>
      </c>
      <c r="D328" s="2">
        <v>2.17</v>
      </c>
      <c r="E328" s="4">
        <v>326</v>
      </c>
      <c r="F328" s="4" t="str">
        <f ca="1">IFERROR(__xludf.DUMMYFUNCTION("GOOGLETRANSLATE($B328, ""en"",""tr"")"),"Maastricht Antlaşması")</f>
        <v>Maastricht Antlaşması</v>
      </c>
      <c r="G328" s="4" t="str">
        <f ca="1">IFERROR(__xludf.DUMMYFUNCTION("GOOGLETRANSLATE($C328, ""en"",""tr"")"),"Avrupa")</f>
        <v>Avrupa</v>
      </c>
      <c r="H328" s="4">
        <v>2.17</v>
      </c>
    </row>
    <row r="329" spans="1:8" x14ac:dyDescent="0.3">
      <c r="A329" s="2">
        <v>327</v>
      </c>
      <c r="B329" s="2" t="s">
        <v>652</v>
      </c>
      <c r="C329" s="2" t="s">
        <v>653</v>
      </c>
      <c r="D329" s="2">
        <v>3.25</v>
      </c>
      <c r="E329" s="4">
        <v>327</v>
      </c>
      <c r="F329" s="4" t="str">
        <f ca="1">IFERROR(__xludf.DUMMYFUNCTION("GOOGLETRANSLATE($B329, ""en"",""tr"")"),"geyser")</f>
        <v>geyser</v>
      </c>
      <c r="G329" s="4" t="str">
        <f ca="1">IFERROR(__xludf.DUMMYFUNCTION("GOOGLETRANSLATE($C329, ""en"",""tr"")"),"bahar")</f>
        <v>bahar</v>
      </c>
      <c r="H329" s="4">
        <v>3.25</v>
      </c>
    </row>
    <row r="330" spans="1:8" x14ac:dyDescent="0.3">
      <c r="A330" s="2">
        <v>328</v>
      </c>
      <c r="B330" s="2" t="s">
        <v>654</v>
      </c>
      <c r="C330" s="2" t="s">
        <v>655</v>
      </c>
      <c r="D330" s="2">
        <v>3.58</v>
      </c>
      <c r="E330" s="4">
        <v>328</v>
      </c>
      <c r="F330" s="5" t="s">
        <v>656</v>
      </c>
      <c r="G330" s="4" t="str">
        <f ca="1">IFERROR(__xludf.DUMMYFUNCTION("GOOGLETRANSLATE($C330, ""en"",""tr"")"),"karbonhidrat")</f>
        <v>karbonhidrat</v>
      </c>
      <c r="H330" s="4">
        <v>3.58</v>
      </c>
    </row>
    <row r="331" spans="1:8" x14ac:dyDescent="0.3">
      <c r="A331" s="2">
        <v>329</v>
      </c>
      <c r="B331" s="2" t="s">
        <v>657</v>
      </c>
      <c r="C331" s="2" t="s">
        <v>627</v>
      </c>
      <c r="D331" s="2">
        <v>3.83</v>
      </c>
      <c r="E331" s="4">
        <v>329</v>
      </c>
      <c r="F331" s="4" t="str">
        <f ca="1">IFERROR(__xludf.DUMMYFUNCTION("GOOGLETRANSLATE($B331, ""en"",""tr"")"),"sahil")</f>
        <v>sahil</v>
      </c>
      <c r="G331" s="4" t="str">
        <f ca="1">IFERROR(__xludf.DUMMYFUNCTION("GOOGLETRANSLATE($C331, ""en"",""tr"")"),"sahil")</f>
        <v>sahil</v>
      </c>
      <c r="H331" s="4">
        <v>3.83</v>
      </c>
    </row>
    <row r="332" spans="1:8" x14ac:dyDescent="0.3">
      <c r="A332" s="2">
        <v>330</v>
      </c>
      <c r="B332" s="2" t="s">
        <v>658</v>
      </c>
      <c r="C332" s="2" t="s">
        <v>659</v>
      </c>
      <c r="D332" s="2">
        <v>3.25</v>
      </c>
      <c r="E332" s="4">
        <v>330</v>
      </c>
      <c r="F332" s="4" t="str">
        <f ca="1">IFERROR(__xludf.DUMMYFUNCTION("GOOGLETRANSLATE($B332, ""en"",""tr"")"),"Borsa")</f>
        <v>Borsa</v>
      </c>
      <c r="G332" s="4" t="str">
        <f ca="1">IFERROR(__xludf.DUMMYFUNCTION("GOOGLETRANSLATE($C332, ""en"",""tr"")"),"Borsa")</f>
        <v>Borsa</v>
      </c>
      <c r="H332" s="4">
        <v>3.25</v>
      </c>
    </row>
    <row r="333" spans="1:8" x14ac:dyDescent="0.3">
      <c r="A333" s="2">
        <v>331</v>
      </c>
      <c r="B333" s="2" t="s">
        <v>660</v>
      </c>
      <c r="C333" s="2" t="s">
        <v>661</v>
      </c>
      <c r="D333" s="2">
        <v>1.58</v>
      </c>
      <c r="E333" s="4">
        <v>331</v>
      </c>
      <c r="F333" s="4" t="str">
        <f ca="1">IFERROR(__xludf.DUMMYFUNCTION("GOOGLETRANSLATE($B333, ""en"",""tr"")"),"gelenek")</f>
        <v>gelenek</v>
      </c>
      <c r="G333" s="4" t="str">
        <f ca="1">IFERROR(__xludf.DUMMYFUNCTION("GOOGLETRANSLATE($C333, ""en"",""tr"")"),"el sanatları")</f>
        <v>el sanatları</v>
      </c>
      <c r="H333" s="4">
        <v>1.58</v>
      </c>
    </row>
    <row r="334" spans="1:8" x14ac:dyDescent="0.3">
      <c r="A334" s="2">
        <v>332</v>
      </c>
      <c r="B334" s="2" t="s">
        <v>662</v>
      </c>
      <c r="C334" s="2" t="s">
        <v>663</v>
      </c>
      <c r="D334" s="2">
        <v>1.92</v>
      </c>
      <c r="E334" s="4">
        <v>332</v>
      </c>
      <c r="F334" s="4" t="str">
        <f ca="1">IFERROR(__xludf.DUMMYFUNCTION("GOOGLETRANSLATE($B334, ""en"",""tr"")"),"roman")</f>
        <v>roman</v>
      </c>
      <c r="G334" s="4" t="str">
        <f ca="1">IFERROR(__xludf.DUMMYFUNCTION("GOOGLETRANSLATE($C334, ""en"",""tr"")"),"yazar")</f>
        <v>yazar</v>
      </c>
      <c r="H334" s="4">
        <v>1.92</v>
      </c>
    </row>
    <row r="335" spans="1:8" x14ac:dyDescent="0.3">
      <c r="A335" s="2">
        <v>333</v>
      </c>
      <c r="B335" s="2" t="s">
        <v>664</v>
      </c>
      <c r="C335" s="2" t="s">
        <v>665</v>
      </c>
      <c r="D335" s="2">
        <v>1.75</v>
      </c>
      <c r="E335" s="4">
        <v>333</v>
      </c>
      <c r="F335" s="4" t="str">
        <f ca="1">IFERROR(__xludf.DUMMYFUNCTION("GOOGLETRANSLATE($B335, ""en"",""tr"")"),"sandviç")</f>
        <v>sandviç</v>
      </c>
      <c r="G335" s="5" t="s">
        <v>665</v>
      </c>
      <c r="H335" s="4">
        <v>1.75</v>
      </c>
    </row>
    <row r="336" spans="1:8" x14ac:dyDescent="0.3">
      <c r="A336" s="2">
        <v>334</v>
      </c>
      <c r="B336" s="2" t="s">
        <v>666</v>
      </c>
      <c r="C336" s="2" t="s">
        <v>667</v>
      </c>
      <c r="D336" s="2">
        <v>2.67</v>
      </c>
      <c r="E336" s="4">
        <v>334</v>
      </c>
      <c r="F336" s="4" t="str">
        <f ca="1">IFERROR(__xludf.DUMMYFUNCTION("GOOGLETRANSLATE($B336, ""en"",""tr"")"),"akustik")</f>
        <v>akustik</v>
      </c>
      <c r="G336" s="4" t="str">
        <f ca="1">IFERROR(__xludf.DUMMYFUNCTION("GOOGLETRANSLATE($C336, ""en"",""tr"")"),"ses")</f>
        <v>ses</v>
      </c>
      <c r="H336" s="4">
        <v>2.67</v>
      </c>
    </row>
    <row r="337" spans="1:8" x14ac:dyDescent="0.3">
      <c r="A337" s="2">
        <v>335</v>
      </c>
      <c r="B337" s="2" t="s">
        <v>668</v>
      </c>
      <c r="C337" s="2" t="s">
        <v>669</v>
      </c>
      <c r="D337" s="2">
        <v>2.33</v>
      </c>
      <c r="E337" s="4">
        <v>335</v>
      </c>
      <c r="F337" s="4" t="str">
        <f ca="1">IFERROR(__xludf.DUMMYFUNCTION("GOOGLETRANSLATE($B337, ""en"",""tr"")"),"çit")</f>
        <v>çit</v>
      </c>
      <c r="G337" s="4" t="str">
        <f ca="1">IFERROR(__xludf.DUMMYFUNCTION("GOOGLETRANSLATE($C337, ""en"",""tr"")"),"Jimnastik")</f>
        <v>Jimnastik</v>
      </c>
      <c r="H337" s="4">
        <v>2.33</v>
      </c>
    </row>
    <row r="338" spans="1:8" x14ac:dyDescent="0.3">
      <c r="A338" s="2">
        <v>336</v>
      </c>
      <c r="B338" s="2" t="s">
        <v>663</v>
      </c>
      <c r="C338" s="2" t="s">
        <v>670</v>
      </c>
      <c r="D338" s="2">
        <v>0</v>
      </c>
      <c r="E338" s="4">
        <v>336</v>
      </c>
      <c r="F338" s="4" t="str">
        <f ca="1">IFERROR(__xludf.DUMMYFUNCTION("GOOGLETRANSLATE($B338, ""en"",""tr"")"),"yazar")</f>
        <v>yazar</v>
      </c>
      <c r="G338" s="4" t="str">
        <f ca="1">IFERROR(__xludf.DUMMYFUNCTION("GOOGLETRANSLATE($C338, ""en"",""tr"")"),"hediye")</f>
        <v>hediye</v>
      </c>
      <c r="H338" s="4">
        <v>0</v>
      </c>
    </row>
    <row r="339" spans="1:8" x14ac:dyDescent="0.3">
      <c r="A339" s="2">
        <v>337</v>
      </c>
      <c r="B339" s="2" t="s">
        <v>671</v>
      </c>
      <c r="C339" s="2" t="s">
        <v>672</v>
      </c>
      <c r="D339" s="2">
        <v>0.08</v>
      </c>
      <c r="E339" s="4">
        <v>337</v>
      </c>
      <c r="F339" s="4" t="str">
        <f ca="1">IFERROR(__xludf.DUMMYFUNCTION("GOOGLETRANSLATE($B339, ""en"",""tr"")"),"ormanlık alan")</f>
        <v>ormanlık alan</v>
      </c>
      <c r="G339" s="4" t="str">
        <f ca="1">IFERROR(__xludf.DUMMYFUNCTION("GOOGLETRANSLATE($C339, ""en"",""tr"")"),"Tiger Woods")</f>
        <v>Tiger Woods</v>
      </c>
      <c r="H339" s="4">
        <v>0.08</v>
      </c>
    </row>
    <row r="340" spans="1:8" x14ac:dyDescent="0.3">
      <c r="A340" s="2">
        <v>338</v>
      </c>
      <c r="B340" s="2" t="s">
        <v>499</v>
      </c>
      <c r="C340" s="2" t="s">
        <v>253</v>
      </c>
      <c r="D340" s="2">
        <v>0.67</v>
      </c>
      <c r="E340" s="4">
        <v>338</v>
      </c>
      <c r="F340" s="4" t="str">
        <f ca="1">IFERROR(__xludf.DUMMYFUNCTION("GOOGLETRANSLATE($B340, ""en"",""tr"")"),"bulut")</f>
        <v>bulut</v>
      </c>
      <c r="G340" s="4" t="str">
        <f ca="1">IFERROR(__xludf.DUMMYFUNCTION("GOOGLETRANSLATE($C340, ""en"",""tr"")"),"pencere")</f>
        <v>pencere</v>
      </c>
      <c r="H340" s="4">
        <v>0.67</v>
      </c>
    </row>
    <row r="341" spans="1:8" x14ac:dyDescent="0.3">
      <c r="A341" s="2">
        <v>339</v>
      </c>
      <c r="B341" s="2" t="s">
        <v>673</v>
      </c>
      <c r="C341" s="2" t="s">
        <v>674</v>
      </c>
      <c r="D341" s="2">
        <v>3.08</v>
      </c>
      <c r="E341" s="4">
        <v>339</v>
      </c>
      <c r="F341" s="4" t="str">
        <f ca="1">IFERROR(__xludf.DUMMYFUNCTION("GOOGLETRANSLATE($B341, ""en"",""tr"")"),"JPEG")</f>
        <v>JPEG</v>
      </c>
      <c r="G341" s="4" t="str">
        <f ca="1">IFERROR(__xludf.DUMMYFUNCTION("GOOGLETRANSLATE($C341, ""en"",""tr"")"),"PDF")</f>
        <v>PDF</v>
      </c>
      <c r="H341" s="4">
        <v>3.08</v>
      </c>
    </row>
    <row r="342" spans="1:8" x14ac:dyDescent="0.3">
      <c r="A342" s="2">
        <v>340</v>
      </c>
      <c r="B342" s="2" t="s">
        <v>675</v>
      </c>
      <c r="C342" s="2" t="s">
        <v>676</v>
      </c>
      <c r="D342" s="2">
        <v>3.33</v>
      </c>
      <c r="E342" s="4">
        <v>340</v>
      </c>
      <c r="F342" s="4" t="str">
        <f ca="1">IFERROR(__xludf.DUMMYFUNCTION("GOOGLETRANSLATE($B342, ""en"",""tr"")"),"müdür")</f>
        <v>müdür</v>
      </c>
      <c r="G342" s="4" t="str">
        <f ca="1">IFERROR(__xludf.DUMMYFUNCTION("GOOGLETRANSLATE($C342, ""en"",""tr"")"),"patron")</f>
        <v>patron</v>
      </c>
      <c r="H342" s="4">
        <v>3.33</v>
      </c>
    </row>
    <row r="343" spans="1:8" x14ac:dyDescent="0.3">
      <c r="A343" s="2">
        <v>341</v>
      </c>
      <c r="B343" s="2" t="s">
        <v>677</v>
      </c>
      <c r="C343" s="2" t="s">
        <v>678</v>
      </c>
      <c r="D343" s="2">
        <v>1.17</v>
      </c>
      <c r="E343" s="4">
        <v>341</v>
      </c>
      <c r="F343" s="4" t="str">
        <f ca="1">IFERROR(__xludf.DUMMYFUNCTION("GOOGLETRANSLATE($B343, ""en"",""tr"")"),"vergi")</f>
        <v>vergi</v>
      </c>
      <c r="G343" s="4" t="str">
        <f ca="1">IFERROR(__xludf.DUMMYFUNCTION("GOOGLETRANSLATE($C343, ""en"",""tr"")"),"Brexit")</f>
        <v>Brexit</v>
      </c>
      <c r="H343" s="4">
        <v>1.17</v>
      </c>
    </row>
    <row r="344" spans="1:8" x14ac:dyDescent="0.3">
      <c r="A344" s="2">
        <v>342</v>
      </c>
      <c r="B344" s="2" t="s">
        <v>679</v>
      </c>
      <c r="C344" s="2" t="s">
        <v>680</v>
      </c>
      <c r="D344" s="2">
        <v>2.42</v>
      </c>
      <c r="E344" s="4">
        <v>342</v>
      </c>
      <c r="F344" s="4" t="str">
        <f ca="1">IFERROR(__xludf.DUMMYFUNCTION("GOOGLETRANSLATE($B344, ""en"",""tr"")"),"tozlaşma")</f>
        <v>tozlaşma</v>
      </c>
      <c r="G344" s="5" t="s">
        <v>681</v>
      </c>
      <c r="H344" s="4">
        <v>2.42</v>
      </c>
    </row>
    <row r="345" spans="1:8" x14ac:dyDescent="0.3">
      <c r="A345" s="2">
        <v>343</v>
      </c>
      <c r="B345" s="2" t="s">
        <v>682</v>
      </c>
      <c r="C345" s="2" t="s">
        <v>683</v>
      </c>
      <c r="D345" s="2">
        <v>3.33</v>
      </c>
      <c r="E345" s="4">
        <v>343</v>
      </c>
      <c r="F345" s="4" t="str">
        <f ca="1">IFERROR(__xludf.DUMMYFUNCTION("GOOGLETRANSLATE($B345, ""en"",""tr"")"),"video oyunu")</f>
        <v>video oyunu</v>
      </c>
      <c r="G345" s="4" t="str">
        <f ca="1">IFERROR(__xludf.DUMMYFUNCTION("GOOGLETRANSLATE($C345, ""en"",""tr"")"),"PC oyunu")</f>
        <v>PC oyunu</v>
      </c>
      <c r="H345" s="4">
        <v>3.33</v>
      </c>
    </row>
    <row r="346" spans="1:8" x14ac:dyDescent="0.3">
      <c r="A346" s="2">
        <v>344</v>
      </c>
      <c r="B346" s="2" t="s">
        <v>684</v>
      </c>
      <c r="C346" s="2" t="s">
        <v>685</v>
      </c>
      <c r="D346" s="2">
        <v>2.33</v>
      </c>
      <c r="E346" s="4">
        <v>344</v>
      </c>
      <c r="F346" s="4" t="str">
        <f ca="1">IFERROR(__xludf.DUMMYFUNCTION("GOOGLETRANSLATE($B346, ""en"",""tr"")"),"tedavi")</f>
        <v>tedavi</v>
      </c>
      <c r="G346" s="4" t="str">
        <f ca="1">IFERROR(__xludf.DUMMYFUNCTION("GOOGLETRANSLATE($C346, ""en"",""tr"")"),"cerrahi operasyon")</f>
        <v>cerrahi operasyon</v>
      </c>
      <c r="H346" s="4">
        <v>2.33</v>
      </c>
    </row>
    <row r="347" spans="1:8" x14ac:dyDescent="0.3">
      <c r="A347" s="2">
        <v>345</v>
      </c>
      <c r="B347" s="2" t="s">
        <v>686</v>
      </c>
      <c r="C347" s="2" t="s">
        <v>687</v>
      </c>
      <c r="D347" s="2">
        <v>2.67</v>
      </c>
      <c r="E347" s="4">
        <v>345</v>
      </c>
      <c r="F347" s="4" t="str">
        <f ca="1">IFERROR(__xludf.DUMMYFUNCTION("GOOGLETRANSLATE($B347, ""en"",""tr"")"),"çeltik")</f>
        <v>çeltik</v>
      </c>
      <c r="G347" s="4" t="str">
        <f ca="1">IFERROR(__xludf.DUMMYFUNCTION("GOOGLETRANSLATE($C347, ""en"",""tr"")"),"patates")</f>
        <v>patates</v>
      </c>
      <c r="H347" s="4">
        <v>2.67</v>
      </c>
    </row>
    <row r="348" spans="1:8" x14ac:dyDescent="0.3">
      <c r="A348" s="2">
        <v>346</v>
      </c>
      <c r="B348" s="2" t="s">
        <v>688</v>
      </c>
      <c r="C348" s="2" t="s">
        <v>689</v>
      </c>
      <c r="D348" s="2">
        <v>1.83</v>
      </c>
      <c r="E348" s="4">
        <v>346</v>
      </c>
      <c r="F348" s="4" t="str">
        <f ca="1">IFERROR(__xludf.DUMMYFUNCTION("GOOGLETRANSLATE($B348, ""en"",""tr"")"),"not alma")</f>
        <v>not alma</v>
      </c>
      <c r="G348" s="5" t="s">
        <v>234</v>
      </c>
      <c r="H348" s="4">
        <v>1.83</v>
      </c>
    </row>
    <row r="349" spans="1:8" x14ac:dyDescent="0.3">
      <c r="A349" s="2">
        <v>347</v>
      </c>
      <c r="B349" s="2" t="s">
        <v>690</v>
      </c>
      <c r="C349" s="2" t="s">
        <v>691</v>
      </c>
      <c r="D349" s="2">
        <v>0.33</v>
      </c>
      <c r="E349" s="4">
        <v>347</v>
      </c>
      <c r="F349" s="4" t="str">
        <f ca="1">IFERROR(__xludf.DUMMYFUNCTION("GOOGLETRANSLATE($B349, ""en"",""tr"")"),"tilki")</f>
        <v>tilki</v>
      </c>
      <c r="G349" s="4" t="str">
        <f ca="1">IFERROR(__xludf.DUMMYFUNCTION("GOOGLETRANSLATE($C349, ""en"",""tr"")"),"kan hücresi")</f>
        <v>kan hücresi</v>
      </c>
      <c r="H349" s="4">
        <v>0.33</v>
      </c>
    </row>
    <row r="350" spans="1:8" x14ac:dyDescent="0.3">
      <c r="A350" s="2">
        <v>348</v>
      </c>
      <c r="B350" s="2" t="s">
        <v>692</v>
      </c>
      <c r="C350" s="2" t="s">
        <v>693</v>
      </c>
      <c r="D350" s="2">
        <v>3.92</v>
      </c>
      <c r="E350" s="4">
        <v>348</v>
      </c>
      <c r="F350" s="4" t="str">
        <f ca="1">IFERROR(__xludf.DUMMYFUNCTION("GOOGLETRANSLATE($B350, ""en"",""tr"")"),"sodyum klorit")</f>
        <v>sodyum klorit</v>
      </c>
      <c r="G350" s="4" t="str">
        <f ca="1">IFERROR(__xludf.DUMMYFUNCTION("GOOGLETRANSLATE($C350, ""en"",""tr"")"),"tuz")</f>
        <v>tuz</v>
      </c>
      <c r="H350" s="4">
        <v>3.92</v>
      </c>
    </row>
    <row r="351" spans="1:8" x14ac:dyDescent="0.3">
      <c r="A351" s="2">
        <v>349</v>
      </c>
      <c r="B351" s="2" t="s">
        <v>694</v>
      </c>
      <c r="C351" s="2" t="s">
        <v>695</v>
      </c>
      <c r="D351" s="2">
        <v>2.17</v>
      </c>
      <c r="E351" s="4">
        <v>349</v>
      </c>
      <c r="F351" s="4" t="str">
        <f ca="1">IFERROR(__xludf.DUMMYFUNCTION("GOOGLETRANSLATE($B351, ""en"",""tr"")"),"gelir")</f>
        <v>gelir</v>
      </c>
      <c r="G351" s="4" t="str">
        <f ca="1">IFERROR(__xludf.DUMMYFUNCTION("GOOGLETRANSLATE($C351, ""en"",""tr"")"),"yaşam kalitesi")</f>
        <v>yaşam kalitesi</v>
      </c>
      <c r="H351" s="4">
        <v>2.17</v>
      </c>
    </row>
    <row r="352" spans="1:8" x14ac:dyDescent="0.3">
      <c r="A352" s="2">
        <v>350</v>
      </c>
      <c r="B352" s="2" t="s">
        <v>696</v>
      </c>
      <c r="C352" s="2" t="s">
        <v>697</v>
      </c>
      <c r="D352" s="2">
        <v>3.5</v>
      </c>
      <c r="E352" s="4">
        <v>350</v>
      </c>
      <c r="F352" s="4" t="str">
        <f ca="1">IFERROR(__xludf.DUMMYFUNCTION("GOOGLETRANSLATE($B352, ""en"",""tr"")"),"irade")</f>
        <v>irade</v>
      </c>
      <c r="G352" s="4" t="str">
        <f ca="1">IFERROR(__xludf.DUMMYFUNCTION("GOOGLETRANSLATE($C352, ""en"",""tr"")"),"niyet")</f>
        <v>niyet</v>
      </c>
      <c r="H352" s="4">
        <v>3.5</v>
      </c>
    </row>
    <row r="353" spans="1:8" x14ac:dyDescent="0.3">
      <c r="A353" s="2">
        <v>351</v>
      </c>
      <c r="B353" s="2" t="s">
        <v>698</v>
      </c>
      <c r="C353" s="2" t="s">
        <v>396</v>
      </c>
      <c r="D353" s="2">
        <v>0.17</v>
      </c>
      <c r="E353" s="4">
        <v>351</v>
      </c>
      <c r="F353" s="4" t="str">
        <f ca="1">IFERROR(__xludf.DUMMYFUNCTION("GOOGLETRANSLATE($B353, ""en"",""tr"")"),"pusula")</f>
        <v>pusula</v>
      </c>
      <c r="G353" s="4" t="str">
        <f ca="1">IFERROR(__xludf.DUMMYFUNCTION("GOOGLETRANSLATE($C353, ""en"",""tr"")"),"fil")</f>
        <v>fil</v>
      </c>
      <c r="H353" s="4">
        <v>0.17</v>
      </c>
    </row>
    <row r="354" spans="1:8" x14ac:dyDescent="0.3">
      <c r="A354" s="2">
        <v>352</v>
      </c>
      <c r="B354" s="2" t="s">
        <v>699</v>
      </c>
      <c r="C354" s="2" t="s">
        <v>700</v>
      </c>
      <c r="D354" s="2">
        <v>1</v>
      </c>
      <c r="E354" s="4">
        <v>352</v>
      </c>
      <c r="F354" s="4" t="str">
        <f ca="1">IFERROR(__xludf.DUMMYFUNCTION("GOOGLETRANSLATE($B354, ""en"",""tr"")"),"devam etmek")</f>
        <v>devam etmek</v>
      </c>
      <c r="G354" s="4" t="str">
        <f ca="1">IFERROR(__xludf.DUMMYFUNCTION("GOOGLETRANSLATE($C354, ""en"",""tr"")"),"kamera")</f>
        <v>kamera</v>
      </c>
      <c r="H354" s="4">
        <v>1</v>
      </c>
    </row>
    <row r="355" spans="1:8" x14ac:dyDescent="0.3">
      <c r="A355" s="2">
        <v>353</v>
      </c>
      <c r="B355" s="2" t="s">
        <v>481</v>
      </c>
      <c r="C355" s="2" t="s">
        <v>65</v>
      </c>
      <c r="D355" s="2">
        <v>3.92</v>
      </c>
      <c r="E355" s="4">
        <v>353</v>
      </c>
      <c r="F355" s="4" t="str">
        <f ca="1">IFERROR(__xludf.DUMMYFUNCTION("GOOGLETRANSLATE($B355, ""en"",""tr"")"),"film")</f>
        <v>film</v>
      </c>
      <c r="G355" s="4" t="str">
        <f ca="1">IFERROR(__xludf.DUMMYFUNCTION("GOOGLETRANSLATE($C355, ""en"",""tr"")"),"film")</f>
        <v>film</v>
      </c>
      <c r="H355" s="4">
        <v>3.92</v>
      </c>
    </row>
    <row r="356" spans="1:8" x14ac:dyDescent="0.3">
      <c r="A356" s="2">
        <v>354</v>
      </c>
      <c r="B356" s="2" t="s">
        <v>701</v>
      </c>
      <c r="C356" s="2" t="s">
        <v>148</v>
      </c>
      <c r="D356" s="2">
        <v>1.75</v>
      </c>
      <c r="E356" s="4">
        <v>354</v>
      </c>
      <c r="F356" s="4" t="str">
        <f ca="1">IFERROR(__xludf.DUMMYFUNCTION("GOOGLETRANSLATE($B356, ""en"",""tr"")"),"Çavuş")</f>
        <v>Çavuş</v>
      </c>
      <c r="G356" s="4" t="str">
        <f ca="1">IFERROR(__xludf.DUMMYFUNCTION("GOOGLETRANSLATE($C356, ""en"",""tr"")"),"silah")</f>
        <v>silah</v>
      </c>
      <c r="H356" s="4">
        <v>1.75</v>
      </c>
    </row>
    <row r="357" spans="1:8" x14ac:dyDescent="0.3">
      <c r="A357" s="2">
        <v>355</v>
      </c>
      <c r="B357" s="2" t="s">
        <v>702</v>
      </c>
      <c r="C357" s="2" t="s">
        <v>703</v>
      </c>
      <c r="D357" s="2">
        <v>0.75</v>
      </c>
      <c r="E357" s="4">
        <v>355</v>
      </c>
      <c r="F357" s="4" t="str">
        <f ca="1">IFERROR(__xludf.DUMMYFUNCTION("GOOGLETRANSLATE($B357, ""en"",""tr"")"),"değirmen")</f>
        <v>değirmen</v>
      </c>
      <c r="G357" s="4" t="str">
        <f ca="1">IFERROR(__xludf.DUMMYFUNCTION("GOOGLETRANSLATE($C357, ""en"",""tr"")"),"tohum")</f>
        <v>tohum</v>
      </c>
      <c r="H357" s="4">
        <v>0.75</v>
      </c>
    </row>
    <row r="358" spans="1:8" x14ac:dyDescent="0.3">
      <c r="A358" s="2">
        <v>356</v>
      </c>
      <c r="B358" s="2" t="s">
        <v>704</v>
      </c>
      <c r="C358" s="2" t="s">
        <v>705</v>
      </c>
      <c r="D358" s="2">
        <v>1.17</v>
      </c>
      <c r="E358" s="4">
        <v>356</v>
      </c>
      <c r="F358" s="4" t="str">
        <f ca="1">IFERROR(__xludf.DUMMYFUNCTION("GOOGLETRANSLATE($B358, ""en"",""tr"")"),"dondurma")</f>
        <v>dondurma</v>
      </c>
      <c r="G358" s="4" t="str">
        <f ca="1">IFERROR(__xludf.DUMMYFUNCTION("GOOGLETRANSLATE($C358, ""en"",""tr"")"),"kahvaltı")</f>
        <v>kahvaltı</v>
      </c>
      <c r="H358" s="4">
        <v>1.17</v>
      </c>
    </row>
    <row r="359" spans="1:8" x14ac:dyDescent="0.3">
      <c r="A359" s="2">
        <v>357</v>
      </c>
      <c r="B359" s="2" t="s">
        <v>578</v>
      </c>
      <c r="C359" s="2" t="s">
        <v>706</v>
      </c>
      <c r="D359" s="2">
        <v>2.33</v>
      </c>
      <c r="E359" s="4">
        <v>357</v>
      </c>
      <c r="F359" s="4" t="str">
        <f ca="1">IFERROR(__xludf.DUMMYFUNCTION("GOOGLETRANSLATE($B359, ""en"",""tr"")"),"anahtar")</f>
        <v>anahtar</v>
      </c>
      <c r="G359" s="4" t="str">
        <f ca="1">IFERROR(__xludf.DUMMYFUNCTION("GOOGLETRANSLATE($C359, ""en"",""tr"")"),"kilit")</f>
        <v>kilit</v>
      </c>
      <c r="H359" s="4">
        <v>2.33</v>
      </c>
    </row>
    <row r="360" spans="1:8" x14ac:dyDescent="0.3">
      <c r="A360" s="2">
        <v>358</v>
      </c>
      <c r="B360" s="2" t="s">
        <v>707</v>
      </c>
      <c r="C360" s="2" t="s">
        <v>708</v>
      </c>
      <c r="D360" s="2">
        <v>3.92</v>
      </c>
      <c r="E360" s="4">
        <v>358</v>
      </c>
      <c r="F360" s="4" t="str">
        <f ca="1">IFERROR(__xludf.DUMMYFUNCTION("GOOGLETRANSLATE($B360, ""en"",""tr"")"),"cep telefonu")</f>
        <v>cep telefonu</v>
      </c>
      <c r="G360" s="4" t="str">
        <f ca="1">IFERROR(__xludf.DUMMYFUNCTION("GOOGLETRANSLATE($C360, ""en"",""tr"")"),"telefon")</f>
        <v>telefon</v>
      </c>
      <c r="H360" s="4">
        <v>3.92</v>
      </c>
    </row>
    <row r="361" spans="1:8" x14ac:dyDescent="0.3">
      <c r="A361" s="2">
        <v>359</v>
      </c>
      <c r="B361" s="2" t="s">
        <v>709</v>
      </c>
      <c r="C361" s="2" t="s">
        <v>710</v>
      </c>
      <c r="D361" s="2">
        <v>3.75</v>
      </c>
      <c r="E361" s="4">
        <v>359</v>
      </c>
      <c r="F361" s="4" t="str">
        <f ca="1">IFERROR(__xludf.DUMMYFUNCTION("GOOGLETRANSLATE($B361, ""en"",""tr"")"),"çocuk Yuvası")</f>
        <v>çocuk Yuvası</v>
      </c>
      <c r="G361" s="4" t="str">
        <f ca="1">IFERROR(__xludf.DUMMYFUNCTION("GOOGLETRANSLATE($C361, ""en"",""tr"")"),"okul öncesi")</f>
        <v>okul öncesi</v>
      </c>
      <c r="H361" s="4">
        <v>3.75</v>
      </c>
    </row>
    <row r="362" spans="1:8" x14ac:dyDescent="0.3">
      <c r="A362" s="2">
        <v>360</v>
      </c>
      <c r="B362" s="2" t="s">
        <v>711</v>
      </c>
      <c r="C362" s="2" t="s">
        <v>712</v>
      </c>
      <c r="D362" s="2">
        <v>0.42</v>
      </c>
      <c r="E362" s="4">
        <v>360</v>
      </c>
      <c r="F362" s="4" t="str">
        <f ca="1">IFERROR(__xludf.DUMMYFUNCTION("GOOGLETRANSLATE($B362, ""en"",""tr"")"),"Batı dünyası")</f>
        <v>Batı dünyası</v>
      </c>
      <c r="G362" s="4" t="str">
        <f ca="1">IFERROR(__xludf.DUMMYFUNCTION("GOOGLETRANSLATE($C362, ""en"",""tr"")"),"Western Union")</f>
        <v>Western Union</v>
      </c>
      <c r="H362" s="4">
        <v>0.42</v>
      </c>
    </row>
    <row r="363" spans="1:8" x14ac:dyDescent="0.3">
      <c r="A363" s="2">
        <v>361</v>
      </c>
      <c r="B363" s="2" t="s">
        <v>713</v>
      </c>
      <c r="C363" s="2" t="s">
        <v>714</v>
      </c>
      <c r="D363" s="2">
        <v>2.25</v>
      </c>
      <c r="E363" s="4">
        <v>361</v>
      </c>
      <c r="F363" s="4" t="str">
        <f ca="1">IFERROR(__xludf.DUMMYFUNCTION("GOOGLETRANSLATE($B363, ""en"",""tr"")"),"fide")</f>
        <v>fide</v>
      </c>
      <c r="G363" s="4" t="str">
        <f ca="1">IFERROR(__xludf.DUMMYFUNCTION("GOOGLETRANSLATE($C363, ""en"",""tr"")"),"yaprak")</f>
        <v>yaprak</v>
      </c>
      <c r="H363" s="4">
        <v>2.25</v>
      </c>
    </row>
    <row r="364" spans="1:8" x14ac:dyDescent="0.3">
      <c r="A364" s="2">
        <v>362</v>
      </c>
      <c r="B364" s="2" t="s">
        <v>282</v>
      </c>
      <c r="C364" s="2" t="s">
        <v>715</v>
      </c>
      <c r="D364" s="2">
        <v>3.08</v>
      </c>
      <c r="E364" s="4">
        <v>362</v>
      </c>
      <c r="F364" s="4" t="str">
        <f ca="1">IFERROR(__xludf.DUMMYFUNCTION("GOOGLETRANSLATE($B364, ""en"",""tr"")"),"yağmur")</f>
        <v>yağmur</v>
      </c>
      <c r="G364" s="4" t="str">
        <f ca="1">IFERROR(__xludf.DUMMYFUNCTION("GOOGLETRANSLATE($C364, ""en"",""tr"")"),"dolu")</f>
        <v>dolu</v>
      </c>
      <c r="H364" s="4">
        <v>3.08</v>
      </c>
    </row>
    <row r="365" spans="1:8" x14ac:dyDescent="0.3">
      <c r="A365" s="2">
        <v>363</v>
      </c>
      <c r="B365" s="2" t="s">
        <v>716</v>
      </c>
      <c r="C365" s="2" t="s">
        <v>717</v>
      </c>
      <c r="D365" s="2">
        <v>2.33</v>
      </c>
      <c r="E365" s="4">
        <v>363</v>
      </c>
      <c r="F365" s="4" t="str">
        <f ca="1">IFERROR(__xludf.DUMMYFUNCTION("GOOGLETRANSLATE($B365, ""en"",""tr"")"),"mutluluk")</f>
        <v>mutluluk</v>
      </c>
      <c r="G365" s="4" t="str">
        <f ca="1">IFERROR(__xludf.DUMMYFUNCTION("GOOGLETRANSLATE($C365, ""en"",""tr"")"),"üzüntü")</f>
        <v>üzüntü</v>
      </c>
      <c r="H365" s="4">
        <v>2.33</v>
      </c>
    </row>
    <row r="366" spans="1:8" x14ac:dyDescent="0.3">
      <c r="A366" s="2">
        <v>364</v>
      </c>
      <c r="B366" s="2" t="s">
        <v>304</v>
      </c>
      <c r="C366" s="2" t="s">
        <v>718</v>
      </c>
      <c r="D366" s="2">
        <v>3.33</v>
      </c>
      <c r="E366" s="4">
        <v>364</v>
      </c>
      <c r="F366" s="4" t="str">
        <f ca="1">IFERROR(__xludf.DUMMYFUNCTION("GOOGLETRANSLATE($B366, ""en"",""tr"")"),"ipekböceği")</f>
        <v>ipekböceği</v>
      </c>
      <c r="G366" s="4" t="str">
        <f ca="1">IFERROR(__xludf.DUMMYFUNCTION("GOOGLETRANSLATE($C366, ""en"",""tr"")"),"tırtıl")</f>
        <v>tırtıl</v>
      </c>
      <c r="H366" s="4">
        <v>3.33</v>
      </c>
    </row>
    <row r="367" spans="1:8" x14ac:dyDescent="0.3">
      <c r="A367" s="2">
        <v>365</v>
      </c>
      <c r="B367" s="2" t="s">
        <v>719</v>
      </c>
      <c r="C367" s="2" t="s">
        <v>720</v>
      </c>
      <c r="D367" s="2">
        <v>3</v>
      </c>
      <c r="E367" s="4">
        <v>365</v>
      </c>
      <c r="F367" s="4" t="str">
        <f ca="1">IFERROR(__xludf.DUMMYFUNCTION("GOOGLETRANSLATE($B367, ""en"",""tr"")"),"sörf yapmak")</f>
        <v>sörf yapmak</v>
      </c>
      <c r="G367" s="4" t="str">
        <f ca="1">IFERROR(__xludf.DUMMYFUNCTION("GOOGLETRANSLATE($C367, ""en"",""tr"")"),"su sporu")</f>
        <v>su sporu</v>
      </c>
      <c r="H367" s="4">
        <v>3</v>
      </c>
    </row>
    <row r="368" spans="1:8" x14ac:dyDescent="0.3">
      <c r="A368" s="2">
        <v>366</v>
      </c>
      <c r="B368" s="2" t="s">
        <v>7</v>
      </c>
      <c r="C368" s="2" t="s">
        <v>721</v>
      </c>
      <c r="D368" s="2">
        <v>3.17</v>
      </c>
      <c r="E368" s="4">
        <v>366</v>
      </c>
      <c r="F368" s="4" t="str">
        <f ca="1">IFERROR(__xludf.DUMMYFUNCTION("GOOGLETRANSLATE($B368, ""en"",""tr"")"),"araba")</f>
        <v>araba</v>
      </c>
      <c r="G368" s="4" t="str">
        <f ca="1">IFERROR(__xludf.DUMMYFUNCTION("GOOGLETRANSLATE($C368, ""en"",""tr"")"),"kamyon")</f>
        <v>kamyon</v>
      </c>
      <c r="H368" s="4">
        <v>3.17</v>
      </c>
    </row>
    <row r="369" spans="1:8" x14ac:dyDescent="0.3">
      <c r="A369" s="2">
        <v>367</v>
      </c>
      <c r="B369" s="2" t="s">
        <v>722</v>
      </c>
      <c r="C369" s="2" t="s">
        <v>723</v>
      </c>
      <c r="D369" s="2">
        <v>0.25</v>
      </c>
      <c r="E369" s="4">
        <v>367</v>
      </c>
      <c r="F369" s="4" t="str">
        <f ca="1">IFERROR(__xludf.DUMMYFUNCTION("GOOGLETRANSLATE($B369, ""en"",""tr"")"),"yiyecek")</f>
        <v>yiyecek</v>
      </c>
      <c r="G369" s="4" t="str">
        <f ca="1">IFERROR(__xludf.DUMMYFUNCTION("GOOGLETRANSLATE($C369, ""en"",""tr"")"),"program")</f>
        <v>program</v>
      </c>
      <c r="H369" s="4">
        <v>0.25</v>
      </c>
    </row>
    <row r="370" spans="1:8" x14ac:dyDescent="0.3">
      <c r="A370" s="2">
        <v>368</v>
      </c>
      <c r="B370" s="2" t="s">
        <v>724</v>
      </c>
      <c r="C370" s="2" t="s">
        <v>725</v>
      </c>
      <c r="D370" s="2">
        <v>3.42</v>
      </c>
      <c r="E370" s="4">
        <v>368</v>
      </c>
      <c r="F370" s="4" t="str">
        <f ca="1">IFERROR(__xludf.DUMMYFUNCTION("GOOGLETRANSLATE($B370, ""en"",""tr"")"),"çizgi roman")</f>
        <v>çizgi roman</v>
      </c>
      <c r="G370" s="4" t="str">
        <f ca="1">IFERROR(__xludf.DUMMYFUNCTION("GOOGLETRANSLATE($C370, ""en"",""tr"")"),"çizgi roman")</f>
        <v>çizgi roman</v>
      </c>
      <c r="H370" s="4">
        <v>3.42</v>
      </c>
    </row>
    <row r="371" spans="1:8" x14ac:dyDescent="0.3">
      <c r="A371" s="2">
        <v>369</v>
      </c>
      <c r="B371" s="2" t="s">
        <v>726</v>
      </c>
      <c r="C371" s="2" t="s">
        <v>162</v>
      </c>
      <c r="D371" s="2">
        <v>3.08</v>
      </c>
      <c r="E371" s="4">
        <v>369</v>
      </c>
      <c r="F371" s="4" t="str">
        <f ca="1">IFERROR(__xludf.DUMMYFUNCTION("GOOGLETRANSLATE($B371, ""en"",""tr"")"),"yılan")</f>
        <v>yılan</v>
      </c>
      <c r="G371" s="4" t="str">
        <f ca="1">IFERROR(__xludf.DUMMYFUNCTION("GOOGLETRANSLATE($C371, ""en"",""tr"")"),"kertenkele")</f>
        <v>kertenkele</v>
      </c>
      <c r="H371" s="4">
        <v>3.08</v>
      </c>
    </row>
    <row r="372" spans="1:8" x14ac:dyDescent="0.3">
      <c r="A372" s="2">
        <v>370</v>
      </c>
      <c r="B372" s="2" t="s">
        <v>727</v>
      </c>
      <c r="C372" s="2" t="s">
        <v>728</v>
      </c>
      <c r="D372" s="2">
        <v>0</v>
      </c>
      <c r="E372" s="4">
        <v>370</v>
      </c>
      <c r="F372" s="4" t="str">
        <f ca="1">IFERROR(__xludf.DUMMYFUNCTION("GOOGLETRANSLATE($B372, ""en"",""tr"")"),"ananas")</f>
        <v>ananas</v>
      </c>
      <c r="G372" s="4" t="str">
        <f ca="1">IFERROR(__xludf.DUMMYFUNCTION("GOOGLETRANSLATE($C372, ""en"",""tr"")"),"akıllı telefon")</f>
        <v>akıllı telefon</v>
      </c>
      <c r="H372" s="4">
        <v>0</v>
      </c>
    </row>
    <row r="373" spans="1:8" x14ac:dyDescent="0.3">
      <c r="A373" s="2">
        <v>371</v>
      </c>
      <c r="B373" s="2" t="s">
        <v>729</v>
      </c>
      <c r="C373" s="2" t="s">
        <v>730</v>
      </c>
      <c r="D373" s="2">
        <v>3.42</v>
      </c>
      <c r="E373" s="4">
        <v>371</v>
      </c>
      <c r="F373" s="4" t="str">
        <f ca="1">IFERROR(__xludf.DUMMYFUNCTION("GOOGLETRANSLATE($B373, ""en"",""tr"")"),"duvar kağıdı")</f>
        <v>duvar kağıdı</v>
      </c>
      <c r="G373" s="4" t="str">
        <f ca="1">IFERROR(__xludf.DUMMYFUNCTION("GOOGLETRANSLATE($C373, ""en"",""tr"")"),"arka plan")</f>
        <v>arka plan</v>
      </c>
      <c r="H373" s="4">
        <v>3.42</v>
      </c>
    </row>
    <row r="374" spans="1:8" x14ac:dyDescent="0.3">
      <c r="A374" s="2">
        <v>372</v>
      </c>
      <c r="B374" s="2" t="s">
        <v>731</v>
      </c>
      <c r="C374" s="2" t="s">
        <v>732</v>
      </c>
      <c r="D374" s="2">
        <v>0.08</v>
      </c>
      <c r="E374" s="4">
        <v>372</v>
      </c>
      <c r="F374" s="4" t="str">
        <f ca="1">IFERROR(__xludf.DUMMYFUNCTION("GOOGLETRANSLATE($B374, ""en"",""tr"")"),"Santigrat")</f>
        <v>Santigrat</v>
      </c>
      <c r="G374" s="4" t="str">
        <f ca="1">IFERROR(__xludf.DUMMYFUNCTION("GOOGLETRANSLATE($C374, ""en"",""tr"")"),"Microsoft")</f>
        <v>Microsoft</v>
      </c>
      <c r="H374" s="4">
        <v>0.08</v>
      </c>
    </row>
    <row r="375" spans="1:8" x14ac:dyDescent="0.3">
      <c r="A375" s="2">
        <v>373</v>
      </c>
      <c r="B375" s="2" t="s">
        <v>733</v>
      </c>
      <c r="C375" s="2" t="s">
        <v>734</v>
      </c>
      <c r="D375" s="2">
        <v>0.75</v>
      </c>
      <c r="E375" s="4">
        <v>373</v>
      </c>
      <c r="F375" s="4" t="str">
        <f ca="1">IFERROR(__xludf.DUMMYFUNCTION("GOOGLETRANSLATE($B375, ""en"",""tr"")"),"birleştirmek")</f>
        <v>birleştirmek</v>
      </c>
      <c r="G375" s="4" t="str">
        <f ca="1">IFERROR(__xludf.DUMMYFUNCTION("GOOGLETRANSLATE($C375, ""en"",""tr"")"),"şeker kamışı")</f>
        <v>şeker kamışı</v>
      </c>
      <c r="H375" s="4">
        <v>0.75</v>
      </c>
    </row>
    <row r="376" spans="1:8" x14ac:dyDescent="0.3">
      <c r="A376" s="2">
        <v>374</v>
      </c>
      <c r="B376" s="2" t="s">
        <v>735</v>
      </c>
      <c r="C376" s="2" t="s">
        <v>736</v>
      </c>
      <c r="D376" s="2">
        <v>0.75</v>
      </c>
      <c r="E376" s="4">
        <v>374</v>
      </c>
      <c r="F376" s="4" t="str">
        <f ca="1">IFERROR(__xludf.DUMMYFUNCTION("GOOGLETRANSLATE($B376, ""en"",""tr"")"),"kot")</f>
        <v>kot</v>
      </c>
      <c r="G376" s="4" t="str">
        <f ca="1">IFERROR(__xludf.DUMMYFUNCTION("GOOGLETRANSLATE($C376, ""en"",""tr"")"),"kadın")</f>
        <v>kadın</v>
      </c>
      <c r="H376" s="4">
        <v>0.75</v>
      </c>
    </row>
    <row r="377" spans="1:8" x14ac:dyDescent="0.3">
      <c r="A377" s="2">
        <v>375</v>
      </c>
      <c r="B377" s="2" t="s">
        <v>645</v>
      </c>
      <c r="C377" s="2" t="s">
        <v>737</v>
      </c>
      <c r="D377" s="2">
        <v>2.83</v>
      </c>
      <c r="E377" s="4">
        <v>375</v>
      </c>
      <c r="F377" s="4" t="str">
        <f ca="1">IFERROR(__xludf.DUMMYFUNCTION("GOOGLETRANSLATE($B377, ""en"",""tr"")"),"matris")</f>
        <v>matris</v>
      </c>
      <c r="G377" s="4" t="str">
        <f ca="1">IFERROR(__xludf.DUMMYFUNCTION("GOOGLETRANSLATE($C377, ""en"",""tr"")"),"vektör")</f>
        <v>vektör</v>
      </c>
      <c r="H377" s="4">
        <v>2.83</v>
      </c>
    </row>
    <row r="378" spans="1:8" x14ac:dyDescent="0.3">
      <c r="A378" s="2">
        <v>376</v>
      </c>
      <c r="B378" s="2" t="s">
        <v>738</v>
      </c>
      <c r="C378" s="2" t="s">
        <v>739</v>
      </c>
      <c r="D378" s="2">
        <v>4</v>
      </c>
      <c r="E378" s="4">
        <v>376</v>
      </c>
      <c r="F378" s="4" t="str">
        <f ca="1">IFERROR(__xludf.DUMMYFUNCTION("GOOGLETRANSLATE($B378, ""en"",""tr"")"),"karbon dioksit")</f>
        <v>karbon dioksit</v>
      </c>
      <c r="G378" s="4" t="str">
        <f ca="1">IFERROR(__xludf.DUMMYFUNCTION("GOOGLETRANSLATE($C378, ""en"",""tr"")"),"CO2")</f>
        <v>CO2</v>
      </c>
      <c r="H378" s="4">
        <v>4</v>
      </c>
    </row>
    <row r="379" spans="1:8" x14ac:dyDescent="0.3">
      <c r="A379" s="2">
        <v>377</v>
      </c>
      <c r="B379" s="2" t="s">
        <v>740</v>
      </c>
      <c r="C379" s="2" t="s">
        <v>741</v>
      </c>
      <c r="D379" s="2">
        <v>2.5</v>
      </c>
      <c r="E379" s="4">
        <v>377</v>
      </c>
      <c r="F379" s="4" t="str">
        <f ca="1">IFERROR(__xludf.DUMMYFUNCTION("GOOGLETRANSLATE($B379, ""en"",""tr"")"),"koç")</f>
        <v>koç</v>
      </c>
      <c r="G379" s="4" t="str">
        <f ca="1">IFERROR(__xludf.DUMMYFUNCTION("GOOGLETRANSLATE($C379, ""en"",""tr"")"),"oyuncu")</f>
        <v>oyuncu</v>
      </c>
      <c r="H379" s="4">
        <v>2.5</v>
      </c>
    </row>
    <row r="380" spans="1:8" x14ac:dyDescent="0.3">
      <c r="A380" s="2">
        <v>378</v>
      </c>
      <c r="B380" s="2" t="s">
        <v>398</v>
      </c>
      <c r="C380" s="2" t="s">
        <v>155</v>
      </c>
      <c r="D380" s="2">
        <v>2.33</v>
      </c>
      <c r="E380" s="4">
        <v>378</v>
      </c>
      <c r="F380" s="4" t="str">
        <f ca="1">IFERROR(__xludf.DUMMYFUNCTION("GOOGLETRANSLATE($B380, ""en"",""tr"")"),"taş")</f>
        <v>taş</v>
      </c>
      <c r="G380" s="4" t="str">
        <f ca="1">IFERROR(__xludf.DUMMYFUNCTION("GOOGLETRANSLATE($C380, ""en"",""tr"")"),"odun")</f>
        <v>odun</v>
      </c>
      <c r="H380" s="4">
        <v>2.33</v>
      </c>
    </row>
    <row r="381" spans="1:8" x14ac:dyDescent="0.3">
      <c r="A381" s="2">
        <v>379</v>
      </c>
      <c r="B381" s="2" t="s">
        <v>742</v>
      </c>
      <c r="C381" s="2" t="s">
        <v>743</v>
      </c>
      <c r="D381" s="2">
        <v>1.08</v>
      </c>
      <c r="E381" s="4">
        <v>379</v>
      </c>
      <c r="F381" s="4" t="str">
        <f ca="1">IFERROR(__xludf.DUMMYFUNCTION("GOOGLETRANSLATE($B381, ""en"",""tr"")"),"şarj cihazı")</f>
        <v>şarj cihazı</v>
      </c>
      <c r="G381" s="4" t="str">
        <f ca="1">IFERROR(__xludf.DUMMYFUNCTION("GOOGLETRANSLATE($C381, ""en"",""tr"")"),"disk")</f>
        <v>disk</v>
      </c>
      <c r="H381" s="4">
        <v>1.08</v>
      </c>
    </row>
    <row r="382" spans="1:8" x14ac:dyDescent="0.3">
      <c r="A382" s="2">
        <v>380</v>
      </c>
      <c r="B382" s="2" t="s">
        <v>585</v>
      </c>
      <c r="C382" s="2" t="s">
        <v>744</v>
      </c>
      <c r="D382" s="2">
        <v>3.5</v>
      </c>
      <c r="E382" s="4">
        <v>380</v>
      </c>
      <c r="F382" s="4" t="str">
        <f ca="1">IFERROR(__xludf.DUMMYFUNCTION("GOOGLETRANSLATE($B382, ""en"",""tr"")"),"el yazması")</f>
        <v>el yazması</v>
      </c>
      <c r="G382" s="5" t="s">
        <v>745</v>
      </c>
      <c r="H382" s="4">
        <v>3.5</v>
      </c>
    </row>
    <row r="383" spans="1:8" x14ac:dyDescent="0.3">
      <c r="A383" s="2">
        <v>381</v>
      </c>
      <c r="B383" s="2" t="s">
        <v>746</v>
      </c>
      <c r="C383" s="2" t="s">
        <v>747</v>
      </c>
      <c r="D383" s="2">
        <v>2.42</v>
      </c>
      <c r="E383" s="4">
        <v>381</v>
      </c>
      <c r="F383" s="4" t="str">
        <f ca="1">IFERROR(__xludf.DUMMYFUNCTION("GOOGLETRANSLATE($B383, ""en"",""tr"")"),"Gmail")</f>
        <v>Gmail</v>
      </c>
      <c r="G383" s="4" t="str">
        <f ca="1">IFERROR(__xludf.DUMMYFUNCTION("GOOGLETRANSLATE($C383, ""en"",""tr"")"),"Yahoo")</f>
        <v>Yahoo</v>
      </c>
      <c r="H383" s="4">
        <v>2.42</v>
      </c>
    </row>
    <row r="384" spans="1:8" x14ac:dyDescent="0.3">
      <c r="A384" s="2">
        <v>382</v>
      </c>
      <c r="B384" s="2" t="s">
        <v>748</v>
      </c>
      <c r="C384" s="2" t="s">
        <v>749</v>
      </c>
      <c r="D384" s="2">
        <v>3.17</v>
      </c>
      <c r="E384" s="4">
        <v>382</v>
      </c>
      <c r="F384" s="4" t="str">
        <f ca="1">IFERROR(__xludf.DUMMYFUNCTION("GOOGLETRANSLATE($B384, ""en"",""tr"")"),"kapasitör")</f>
        <v>kapasitör</v>
      </c>
      <c r="G384" s="4" t="str">
        <f ca="1">IFERROR(__xludf.DUMMYFUNCTION("GOOGLETRANSLATE($C384, ""en"",""tr"")"),"diyot")</f>
        <v>diyot</v>
      </c>
      <c r="H384" s="4">
        <v>3.17</v>
      </c>
    </row>
    <row r="385" spans="1:8" x14ac:dyDescent="0.3">
      <c r="A385" s="2">
        <v>383</v>
      </c>
      <c r="B385" s="2" t="s">
        <v>750</v>
      </c>
      <c r="C385" s="2" t="s">
        <v>751</v>
      </c>
      <c r="D385" s="2">
        <v>3.17</v>
      </c>
      <c r="E385" s="4">
        <v>383</v>
      </c>
      <c r="F385" s="4" t="str">
        <f ca="1">IFERROR(__xludf.DUMMYFUNCTION("GOOGLETRANSLATE($B385, ""en"",""tr"")"),"yolsuzluk")</f>
        <v>yolsuzluk</v>
      </c>
      <c r="G385" s="4" t="str">
        <f ca="1">IFERROR(__xludf.DUMMYFUNCTION("GOOGLETRANSLATE($C385, ""en"",""tr"")"),"sahtekar")</f>
        <v>sahtekar</v>
      </c>
      <c r="H385" s="4">
        <v>3.17</v>
      </c>
    </row>
    <row r="386" spans="1:8" x14ac:dyDescent="0.3">
      <c r="A386" s="2">
        <v>384</v>
      </c>
      <c r="B386" s="2" t="s">
        <v>752</v>
      </c>
      <c r="C386" s="2" t="s">
        <v>753</v>
      </c>
      <c r="D386" s="2">
        <v>3.92</v>
      </c>
      <c r="E386" s="4">
        <v>384</v>
      </c>
      <c r="F386" s="4" t="str">
        <f ca="1">IFERROR(__xludf.DUMMYFUNCTION("GOOGLETRANSLATE($B386, ""en"",""tr"")"),"Coca Cola")</f>
        <v>Coca Cola</v>
      </c>
      <c r="G386" s="4" t="str">
        <f ca="1">IFERROR(__xludf.DUMMYFUNCTION("GOOGLETRANSLATE($C386, ""en"",""tr"")"),"Kola")</f>
        <v>Kola</v>
      </c>
      <c r="H386" s="4">
        <v>3.92</v>
      </c>
    </row>
    <row r="387" spans="1:8" x14ac:dyDescent="0.3">
      <c r="A387" s="2">
        <v>385</v>
      </c>
      <c r="B387" s="2" t="s">
        <v>754</v>
      </c>
      <c r="C387" s="2" t="s">
        <v>755</v>
      </c>
      <c r="D387" s="2">
        <v>3.17</v>
      </c>
      <c r="E387" s="4">
        <v>385</v>
      </c>
      <c r="F387" s="4" t="str">
        <f ca="1">IFERROR(__xludf.DUMMYFUNCTION("GOOGLETRANSLATE($B387, ""en"",""tr"")"),"Platon")</f>
        <v>Platon</v>
      </c>
      <c r="G387" s="4" t="str">
        <f ca="1">IFERROR(__xludf.DUMMYFUNCTION("GOOGLETRANSLATE($C387, ""en"",""tr"")"),"Aristo")</f>
        <v>Aristo</v>
      </c>
      <c r="H387" s="4">
        <v>3.17</v>
      </c>
    </row>
    <row r="388" spans="1:8" x14ac:dyDescent="0.3">
      <c r="A388" s="2">
        <v>386</v>
      </c>
      <c r="B388" s="2" t="s">
        <v>756</v>
      </c>
      <c r="C388" s="2" t="s">
        <v>757</v>
      </c>
      <c r="D388" s="2">
        <v>2.58</v>
      </c>
      <c r="E388" s="4">
        <v>386</v>
      </c>
      <c r="F388" s="4" t="str">
        <f ca="1">IFERROR(__xludf.DUMMYFUNCTION("GOOGLETRANSLATE($B388, ""en"",""tr"")"),"Soğuk Savaş")</f>
        <v>Soğuk Savaş</v>
      </c>
      <c r="G388" s="4" t="str">
        <f ca="1">IFERROR(__xludf.DUMMYFUNCTION("GOOGLETRANSLATE($C388, ""en"",""tr"")"),"Sovyetler Birliği")</f>
        <v>Sovyetler Birliği</v>
      </c>
      <c r="H388" s="4">
        <v>2.58</v>
      </c>
    </row>
    <row r="389" spans="1:8" x14ac:dyDescent="0.3">
      <c r="A389" s="2">
        <v>387</v>
      </c>
      <c r="B389" s="2" t="s">
        <v>758</v>
      </c>
      <c r="C389" s="2" t="s">
        <v>759</v>
      </c>
      <c r="D389" s="2">
        <v>2</v>
      </c>
      <c r="E389" s="4">
        <v>387</v>
      </c>
      <c r="F389" s="4" t="str">
        <f ca="1">IFERROR(__xludf.DUMMYFUNCTION("GOOGLETRANSLATE($B389, ""en"",""tr"")"),"nozul")</f>
        <v>nozul</v>
      </c>
      <c r="G389" s="4" t="str">
        <f ca="1">IFERROR(__xludf.DUMMYFUNCTION("GOOGLETRANSLATE($C389, ""en"",""tr"")"),"sıvı")</f>
        <v>sıvı</v>
      </c>
      <c r="H389" s="4">
        <v>2</v>
      </c>
    </row>
    <row r="390" spans="1:8" x14ac:dyDescent="0.3">
      <c r="A390" s="2">
        <v>388</v>
      </c>
      <c r="B390" s="2" t="s">
        <v>760</v>
      </c>
      <c r="C390" s="2" t="s">
        <v>69</v>
      </c>
      <c r="D390" s="2">
        <v>0</v>
      </c>
      <c r="E390" s="4">
        <v>388</v>
      </c>
      <c r="F390" s="4" t="str">
        <f ca="1">IFERROR(__xludf.DUMMYFUNCTION("GOOGLETRANSLATE($B390, ""en"",""tr"")"),"fonoloji")</f>
        <v>fonoloji</v>
      </c>
      <c r="G390" s="4" t="str">
        <f ca="1">IFERROR(__xludf.DUMMYFUNCTION("GOOGLETRANSLATE($C390, ""en"",""tr"")"),"ekran")</f>
        <v>ekran</v>
      </c>
      <c r="H390" s="4">
        <v>0</v>
      </c>
    </row>
    <row r="391" spans="1:8" x14ac:dyDescent="0.3">
      <c r="A391" s="2">
        <v>389</v>
      </c>
      <c r="B391" s="2" t="s">
        <v>761</v>
      </c>
      <c r="C391" s="2" t="s">
        <v>762</v>
      </c>
      <c r="D391" s="2">
        <v>1.67</v>
      </c>
      <c r="E391" s="4">
        <v>389</v>
      </c>
      <c r="F391" s="4" t="str">
        <f ca="1">IFERROR(__xludf.DUMMYFUNCTION("GOOGLETRANSLATE($B391, ""en"",""tr"")"),"Zara")</f>
        <v>Zara</v>
      </c>
      <c r="G391" s="4" t="str">
        <f ca="1">IFERROR(__xludf.DUMMYFUNCTION("GOOGLETRANSLATE($C391, ""en"",""tr"")"),"tayt")</f>
        <v>tayt</v>
      </c>
      <c r="H391" s="4">
        <v>1.67</v>
      </c>
    </row>
    <row r="392" spans="1:8" x14ac:dyDescent="0.3">
      <c r="A392" s="2">
        <v>390</v>
      </c>
      <c r="B392" s="2" t="s">
        <v>763</v>
      </c>
      <c r="C392" s="2" t="s">
        <v>764</v>
      </c>
      <c r="D392" s="2">
        <v>4</v>
      </c>
      <c r="E392" s="4">
        <v>390</v>
      </c>
      <c r="F392" s="4" t="str">
        <f ca="1">IFERROR(__xludf.DUMMYFUNCTION("GOOGLETRANSLATE($B392, ""en"",""tr"")"),"Futbol")</f>
        <v>Futbol</v>
      </c>
      <c r="G392" s="4" t="str">
        <f ca="1">IFERROR(__xludf.DUMMYFUNCTION("GOOGLETRANSLATE($C392, ""en"",""tr"")"),"futbol")</f>
        <v>futbol</v>
      </c>
      <c r="H392" s="4">
        <v>4</v>
      </c>
    </row>
    <row r="393" spans="1:8" x14ac:dyDescent="0.3">
      <c r="A393" s="2">
        <v>391</v>
      </c>
      <c r="B393" s="2" t="s">
        <v>765</v>
      </c>
      <c r="C393" s="2" t="s">
        <v>766</v>
      </c>
      <c r="D393" s="2">
        <v>3.92</v>
      </c>
      <c r="E393" s="4">
        <v>391</v>
      </c>
      <c r="F393" s="4" t="str">
        <f ca="1">IFERROR(__xludf.DUMMYFUNCTION("GOOGLETRANSLATE($B393, ""en"",""tr"")"),"mikrop")</f>
        <v>mikrop</v>
      </c>
      <c r="G393" s="4" t="str">
        <f ca="1">IFERROR(__xludf.DUMMYFUNCTION("GOOGLETRANSLATE($C393, ""en"",""tr"")"),"patojen")</f>
        <v>patojen</v>
      </c>
      <c r="H393" s="4">
        <v>3.92</v>
      </c>
    </row>
    <row r="394" spans="1:8" x14ac:dyDescent="0.3">
      <c r="A394" s="2">
        <v>392</v>
      </c>
      <c r="B394" s="2" t="s">
        <v>767</v>
      </c>
      <c r="C394" s="2" t="s">
        <v>768</v>
      </c>
      <c r="D394" s="2">
        <v>1.17</v>
      </c>
      <c r="E394" s="4">
        <v>392</v>
      </c>
      <c r="F394" s="4" t="str">
        <f ca="1">IFERROR(__xludf.DUMMYFUNCTION("GOOGLETRANSLATE($B394, ""en"",""tr"")"),"cumhuriyet")</f>
        <v>cumhuriyet</v>
      </c>
      <c r="G394" s="4" t="str">
        <f ca="1">IFERROR(__xludf.DUMMYFUNCTION("GOOGLETRANSLATE($C394, ""en"",""tr"")"),"dük")</f>
        <v>dük</v>
      </c>
      <c r="H394" s="4">
        <v>1.17</v>
      </c>
    </row>
    <row r="395" spans="1:8" x14ac:dyDescent="0.3">
      <c r="A395" s="2">
        <v>393</v>
      </c>
      <c r="B395" s="2" t="s">
        <v>769</v>
      </c>
      <c r="C395" s="2" t="s">
        <v>770</v>
      </c>
      <c r="D395" s="2">
        <v>3</v>
      </c>
      <c r="E395" s="4">
        <v>393</v>
      </c>
      <c r="F395" s="4" t="str">
        <f ca="1">IFERROR(__xludf.DUMMYFUNCTION("GOOGLETRANSLATE($B395, ""en"",""tr"")"),"top")</f>
        <v>top</v>
      </c>
      <c r="G395" s="4" t="str">
        <f ca="1">IFERROR(__xludf.DUMMYFUNCTION("GOOGLETRANSLATE($C395, ""en"",""tr"")"),"küre")</f>
        <v>küre</v>
      </c>
      <c r="H395" s="4">
        <v>3</v>
      </c>
    </row>
    <row r="396" spans="1:8" x14ac:dyDescent="0.3">
      <c r="A396" s="2">
        <v>394</v>
      </c>
      <c r="B396" s="2" t="s">
        <v>771</v>
      </c>
      <c r="C396" s="2" t="s">
        <v>772</v>
      </c>
      <c r="D396" s="2">
        <v>0</v>
      </c>
      <c r="E396" s="4">
        <v>394</v>
      </c>
      <c r="F396" s="4" t="str">
        <f ca="1">IFERROR(__xludf.DUMMYFUNCTION("GOOGLETRANSLATE($B396, ""en"",""tr"")"),"Mozart")</f>
        <v>Mozart</v>
      </c>
      <c r="G396" s="4" t="str">
        <f ca="1">IFERROR(__xludf.DUMMYFUNCTION("GOOGLETRANSLATE($C396, ""en"",""tr"")"),"Yıldız Savaşları")</f>
        <v>Yıldız Savaşları</v>
      </c>
      <c r="H396" s="4">
        <v>0</v>
      </c>
    </row>
    <row r="397" spans="1:8" x14ac:dyDescent="0.3">
      <c r="A397" s="2">
        <v>395</v>
      </c>
      <c r="B397" s="2" t="s">
        <v>773</v>
      </c>
      <c r="C397" s="2" t="s">
        <v>774</v>
      </c>
      <c r="D397" s="2">
        <v>1.33</v>
      </c>
      <c r="E397" s="4">
        <v>395</v>
      </c>
      <c r="F397" s="4" t="str">
        <f ca="1">IFERROR(__xludf.DUMMYFUNCTION("GOOGLETRANSLATE($B397, ""en"",""tr"")"),"maske")</f>
        <v>maske</v>
      </c>
      <c r="G397" s="4" t="str">
        <f ca="1">IFERROR(__xludf.DUMMYFUNCTION("GOOGLETRANSLATE($C397, ""en"",""tr"")"),"Parti")</f>
        <v>Parti</v>
      </c>
      <c r="H397" s="4">
        <v>1.33</v>
      </c>
    </row>
    <row r="398" spans="1:8" x14ac:dyDescent="0.3">
      <c r="A398" s="2">
        <v>396</v>
      </c>
      <c r="B398" s="2" t="s">
        <v>775</v>
      </c>
      <c r="C398" s="2" t="s">
        <v>776</v>
      </c>
      <c r="D398" s="2">
        <v>4</v>
      </c>
      <c r="E398" s="4">
        <v>396</v>
      </c>
      <c r="F398" s="5" t="s">
        <v>775</v>
      </c>
      <c r="G398" s="4" t="str">
        <f ca="1">IFERROR(__xludf.DUMMYFUNCTION("GOOGLETRANSLATE($C398, ""en"",""tr"")"),"GTA")</f>
        <v>GTA</v>
      </c>
      <c r="H398" s="4">
        <v>4</v>
      </c>
    </row>
    <row r="399" spans="1:8" x14ac:dyDescent="0.3">
      <c r="A399" s="2">
        <v>397</v>
      </c>
      <c r="B399" s="2" t="s">
        <v>777</v>
      </c>
      <c r="C399" s="2" t="s">
        <v>778</v>
      </c>
      <c r="D399" s="2">
        <v>3.42</v>
      </c>
      <c r="E399" s="4">
        <v>397</v>
      </c>
      <c r="F399" s="4" t="str">
        <f ca="1">IFERROR(__xludf.DUMMYFUNCTION("GOOGLETRANSLATE($B399, ""en"",""tr"")"),"otoyol")</f>
        <v>otoyol</v>
      </c>
      <c r="G399" s="4" t="str">
        <f ca="1">IFERROR(__xludf.DUMMYFUNCTION("GOOGLETRANSLATE($C399, ""en"",""tr"")"),"yol")</f>
        <v>yol</v>
      </c>
      <c r="H399" s="4">
        <v>3.42</v>
      </c>
    </row>
    <row r="400" spans="1:8" x14ac:dyDescent="0.3">
      <c r="A400" s="2">
        <v>398</v>
      </c>
      <c r="B400" s="2" t="s">
        <v>779</v>
      </c>
      <c r="C400" s="2" t="s">
        <v>780</v>
      </c>
      <c r="D400" s="2">
        <v>2</v>
      </c>
      <c r="E400" s="4">
        <v>398</v>
      </c>
      <c r="F400" s="4" t="str">
        <f ca="1">IFERROR(__xludf.DUMMYFUNCTION("GOOGLETRANSLATE($B400, ""en"",""tr"")"),"zincirleme tepki")</f>
        <v>zincirleme tepki</v>
      </c>
      <c r="G400" s="4" t="str">
        <f ca="1">IFERROR(__xludf.DUMMYFUNCTION("GOOGLETRANSLATE($C400, ""en"",""tr"")"),"termodinamik")</f>
        <v>termodinamik</v>
      </c>
      <c r="H400" s="4">
        <v>2</v>
      </c>
    </row>
    <row r="401" spans="1:8" x14ac:dyDescent="0.3">
      <c r="A401" s="2">
        <v>399</v>
      </c>
      <c r="B401" s="2" t="s">
        <v>781</v>
      </c>
      <c r="C401" s="2" t="s">
        <v>782</v>
      </c>
      <c r="D401" s="2">
        <v>0</v>
      </c>
      <c r="E401" s="4">
        <v>399</v>
      </c>
      <c r="F401" s="4" t="str">
        <f ca="1">IFERROR(__xludf.DUMMYFUNCTION("GOOGLETRANSLATE($B401, ""en"",""tr"")"),"gösterim")</f>
        <v>gösterim</v>
      </c>
      <c r="G401" s="4" t="str">
        <f ca="1">IFERROR(__xludf.DUMMYFUNCTION("GOOGLETRANSLATE($C401, ""en"",""tr"")"),"kabarcık")</f>
        <v>kabarcık</v>
      </c>
      <c r="H401" s="4">
        <v>0</v>
      </c>
    </row>
    <row r="402" spans="1:8" x14ac:dyDescent="0.3">
      <c r="A402" s="2">
        <v>400</v>
      </c>
      <c r="B402" s="2" t="s">
        <v>783</v>
      </c>
      <c r="C402" s="2" t="s">
        <v>784</v>
      </c>
      <c r="D402" s="2">
        <v>2.92</v>
      </c>
      <c r="E402" s="4">
        <v>400</v>
      </c>
      <c r="F402" s="4" t="str">
        <f ca="1">IFERROR(__xludf.DUMMYFUNCTION("GOOGLETRANSLATE($B402, ""en"",""tr"")"),"antropoloji")</f>
        <v>antropoloji</v>
      </c>
      <c r="G402" s="4" t="str">
        <f ca="1">IFERROR(__xludf.DUMMYFUNCTION("GOOGLETRANSLATE($C402, ""en"",""tr"")"),"arkeoloji")</f>
        <v>arkeoloji</v>
      </c>
      <c r="H402" s="4">
        <v>2.92</v>
      </c>
    </row>
    <row r="403" spans="1:8" x14ac:dyDescent="0.3">
      <c r="A403" s="2">
        <v>401</v>
      </c>
      <c r="B403" s="2" t="s">
        <v>785</v>
      </c>
      <c r="C403" s="2" t="s">
        <v>786</v>
      </c>
      <c r="D403" s="2">
        <v>0</v>
      </c>
      <c r="E403" s="4">
        <v>401</v>
      </c>
      <c r="F403" s="4" t="str">
        <f ca="1">IFERROR(__xludf.DUMMYFUNCTION("GOOGLETRANSLATE($B403, ""en"",""tr"")"),"Dell")</f>
        <v>Dell</v>
      </c>
      <c r="G403" s="4" t="str">
        <f ca="1">IFERROR(__xludf.DUMMYFUNCTION("GOOGLETRANSLATE($C403, ""en"",""tr"")"),"Derecik")</f>
        <v>Derecik</v>
      </c>
      <c r="H403" s="4">
        <v>0</v>
      </c>
    </row>
    <row r="404" spans="1:8" x14ac:dyDescent="0.3">
      <c r="A404" s="2">
        <v>402</v>
      </c>
      <c r="B404" s="2" t="s">
        <v>133</v>
      </c>
      <c r="C404" s="2" t="s">
        <v>787</v>
      </c>
      <c r="D404" s="2">
        <v>0.25</v>
      </c>
      <c r="E404" s="4">
        <v>402</v>
      </c>
      <c r="F404" s="4" t="str">
        <f ca="1">IFERROR(__xludf.DUMMYFUNCTION("GOOGLETRANSLATE($B404, ""en"",""tr"")"),"Meyve suyu")</f>
        <v>Meyve suyu</v>
      </c>
      <c r="G404" s="4" t="str">
        <f ca="1">IFERROR(__xludf.DUMMYFUNCTION("GOOGLETRANSLATE($C404, ""en"",""tr"")"),"kaşık")</f>
        <v>kaşık</v>
      </c>
      <c r="H404" s="4">
        <v>0.25</v>
      </c>
    </row>
    <row r="405" spans="1:8" x14ac:dyDescent="0.3">
      <c r="A405" s="2">
        <v>403</v>
      </c>
      <c r="B405" s="2" t="s">
        <v>788</v>
      </c>
      <c r="C405" s="2" t="s">
        <v>789</v>
      </c>
      <c r="D405" s="2">
        <v>2.5</v>
      </c>
      <c r="E405" s="4">
        <v>403</v>
      </c>
      <c r="F405" s="4" t="str">
        <f ca="1">IFERROR(__xludf.DUMMYFUNCTION("GOOGLETRANSLATE($B405, ""en"",""tr"")"),"Pfizer")</f>
        <v>Pfizer</v>
      </c>
      <c r="G405" s="4" t="str">
        <f ca="1">IFERROR(__xludf.DUMMYFUNCTION("GOOGLETRANSLATE($C405, ""en"",""tr"")"),"ilaç")</f>
        <v>ilaç</v>
      </c>
      <c r="H405" s="4">
        <v>2.5</v>
      </c>
    </row>
    <row r="406" spans="1:8" x14ac:dyDescent="0.3">
      <c r="A406" s="2">
        <v>404</v>
      </c>
      <c r="B406" s="2" t="s">
        <v>721</v>
      </c>
      <c r="C406" s="2" t="s">
        <v>790</v>
      </c>
      <c r="D406" s="2">
        <v>0.67</v>
      </c>
      <c r="E406" s="4">
        <v>404</v>
      </c>
      <c r="F406" s="4" t="str">
        <f ca="1">IFERROR(__xludf.DUMMYFUNCTION("GOOGLETRANSLATE($B406, ""en"",""tr"")"),"kamyon")</f>
        <v>kamyon</v>
      </c>
      <c r="G406" s="4" t="str">
        <f ca="1">IFERROR(__xludf.DUMMYFUNCTION("GOOGLETRANSLATE($C406, ""en"",""tr"")"),"parsel")</f>
        <v>parsel</v>
      </c>
      <c r="H406" s="4">
        <v>0.67</v>
      </c>
    </row>
    <row r="407" spans="1:8" x14ac:dyDescent="0.3">
      <c r="A407" s="2">
        <v>405</v>
      </c>
      <c r="B407" s="2" t="s">
        <v>791</v>
      </c>
      <c r="C407" s="2" t="s">
        <v>792</v>
      </c>
      <c r="D407" s="2">
        <v>2.75</v>
      </c>
      <c r="E407" s="4">
        <v>405</v>
      </c>
      <c r="F407" s="4" t="str">
        <f ca="1">IFERROR(__xludf.DUMMYFUNCTION("GOOGLETRANSLATE($B407, ""en"",""tr"")"),"reseptör")</f>
        <v>reseptör</v>
      </c>
      <c r="G407" s="4" t="str">
        <f ca="1">IFERROR(__xludf.DUMMYFUNCTION("GOOGLETRANSLATE($C407, ""en"",""tr"")"),"protein molekülü")</f>
        <v>protein molekülü</v>
      </c>
      <c r="H407" s="4">
        <v>2.75</v>
      </c>
    </row>
    <row r="408" spans="1:8" x14ac:dyDescent="0.3">
      <c r="A408" s="2">
        <v>406</v>
      </c>
      <c r="B408" s="2" t="s">
        <v>793</v>
      </c>
      <c r="C408" s="2" t="s">
        <v>794</v>
      </c>
      <c r="D408" s="2">
        <v>0</v>
      </c>
      <c r="E408" s="4">
        <v>406</v>
      </c>
      <c r="F408" s="5" t="s">
        <v>793</v>
      </c>
      <c r="G408" s="4" t="str">
        <f ca="1">IFERROR(__xludf.DUMMYFUNCTION("GOOGLETRANSLATE($C408, ""en"",""tr"")"),"sürücü")</f>
        <v>sürücü</v>
      </c>
      <c r="H408" s="4">
        <v>0</v>
      </c>
    </row>
    <row r="409" spans="1:8" x14ac:dyDescent="0.3">
      <c r="A409" s="2">
        <v>407</v>
      </c>
      <c r="B409" s="2" t="s">
        <v>795</v>
      </c>
      <c r="C409" s="2" t="s">
        <v>796</v>
      </c>
      <c r="D409" s="2">
        <v>1.67</v>
      </c>
      <c r="E409" s="4">
        <v>407</v>
      </c>
      <c r="F409" s="4" t="str">
        <f ca="1">IFERROR(__xludf.DUMMYFUNCTION("GOOGLETRANSLATE($B409, ""en"",""tr"")"),"milyarder")</f>
        <v>milyarder</v>
      </c>
      <c r="G409" s="4" t="str">
        <f ca="1">IFERROR(__xludf.DUMMYFUNCTION("GOOGLETRANSLATE($C409, ""en"",""tr"")"),"evsiz")</f>
        <v>evsiz</v>
      </c>
      <c r="H409" s="4">
        <v>1.67</v>
      </c>
    </row>
    <row r="410" spans="1:8" x14ac:dyDescent="0.3">
      <c r="A410" s="2">
        <v>408</v>
      </c>
      <c r="B410" s="2" t="s">
        <v>797</v>
      </c>
      <c r="C410" s="2" t="s">
        <v>798</v>
      </c>
      <c r="D410" s="2">
        <v>2.83</v>
      </c>
      <c r="E410" s="4">
        <v>408</v>
      </c>
      <c r="F410" s="4" t="str">
        <f ca="1">IFERROR(__xludf.DUMMYFUNCTION("GOOGLETRANSLATE($B410, ""en"",""tr"")"),"bölüm")</f>
        <v>bölüm</v>
      </c>
      <c r="G410" s="4" t="str">
        <f ca="1">IFERROR(__xludf.DUMMYFUNCTION("GOOGLETRANSLATE($C410, ""en"",""tr"")"),"bölüm")</f>
        <v>bölüm</v>
      </c>
      <c r="H410" s="4">
        <v>2.83</v>
      </c>
    </row>
    <row r="411" spans="1:8" x14ac:dyDescent="0.3">
      <c r="A411" s="2">
        <v>409</v>
      </c>
      <c r="B411" s="2" t="s">
        <v>799</v>
      </c>
      <c r="C411" s="2" t="s">
        <v>800</v>
      </c>
      <c r="D411" s="2">
        <v>2.33</v>
      </c>
      <c r="E411" s="4">
        <v>409</v>
      </c>
      <c r="F411" s="4" t="str">
        <f ca="1">IFERROR(__xludf.DUMMYFUNCTION("GOOGLETRANSLATE($B411, ""en"",""tr"")"),"sonsuzluk")</f>
        <v>sonsuzluk</v>
      </c>
      <c r="G411" s="4" t="str">
        <f ca="1">IFERROR(__xludf.DUMMYFUNCTION("GOOGLETRANSLATE($C411, ""en"",""tr"")"),"sıfır")</f>
        <v>sıfır</v>
      </c>
      <c r="H411" s="4">
        <v>2.33</v>
      </c>
    </row>
    <row r="412" spans="1:8" x14ac:dyDescent="0.3">
      <c r="A412" s="2">
        <v>410</v>
      </c>
      <c r="B412" s="2" t="s">
        <v>801</v>
      </c>
      <c r="C412" s="2" t="s">
        <v>802</v>
      </c>
      <c r="D412" s="2">
        <v>3.42</v>
      </c>
      <c r="E412" s="4">
        <v>410</v>
      </c>
      <c r="F412" s="4" t="str">
        <f ca="1">IFERROR(__xludf.DUMMYFUNCTION("GOOGLETRANSLATE($B412, ""en"",""tr"")"),"hizmetkar")</f>
        <v>hizmetkar</v>
      </c>
      <c r="G412" s="4" t="str">
        <f ca="1">IFERROR(__xludf.DUMMYFUNCTION("GOOGLETRANSLATE($C412, ""en"",""tr"")"),"köle")</f>
        <v>köle</v>
      </c>
      <c r="H412" s="4">
        <v>3.42</v>
      </c>
    </row>
    <row r="413" spans="1:8" x14ac:dyDescent="0.3">
      <c r="A413" s="2">
        <v>411</v>
      </c>
      <c r="B413" s="2" t="s">
        <v>803</v>
      </c>
      <c r="C413" s="2" t="s">
        <v>804</v>
      </c>
      <c r="D413" s="2">
        <v>3.33</v>
      </c>
      <c r="E413" s="4">
        <v>411</v>
      </c>
      <c r="F413" s="4" t="str">
        <f ca="1">IFERROR(__xludf.DUMMYFUNCTION("GOOGLETRANSLATE($B413, ""en"",""tr"")"),"sonek")</f>
        <v>sonek</v>
      </c>
      <c r="G413" s="5" t="s">
        <v>805</v>
      </c>
      <c r="H413" s="4">
        <v>3.33</v>
      </c>
    </row>
    <row r="414" spans="1:8" x14ac:dyDescent="0.3">
      <c r="A414" s="2">
        <v>412</v>
      </c>
      <c r="B414" s="2" t="s">
        <v>806</v>
      </c>
      <c r="C414" s="2" t="s">
        <v>807</v>
      </c>
      <c r="D414" s="2">
        <v>2.42</v>
      </c>
      <c r="E414" s="4">
        <v>412</v>
      </c>
      <c r="F414" s="4" t="str">
        <f ca="1">IFERROR(__xludf.DUMMYFUNCTION("GOOGLETRANSLATE($B414, ""en"",""tr"")"),"küresel ısınma")</f>
        <v>küresel ısınma</v>
      </c>
      <c r="G414" s="4" t="str">
        <f ca="1">IFERROR(__xludf.DUMMYFUNCTION("GOOGLETRANSLATE($C414, ""en"",""tr"")"),"sıcaklık")</f>
        <v>sıcaklık</v>
      </c>
      <c r="H414" s="4">
        <v>2.42</v>
      </c>
    </row>
    <row r="415" spans="1:8" x14ac:dyDescent="0.3">
      <c r="A415" s="2">
        <v>413</v>
      </c>
      <c r="B415" s="2" t="s">
        <v>808</v>
      </c>
      <c r="C415" s="2" t="s">
        <v>809</v>
      </c>
      <c r="D415" s="2">
        <v>3.92</v>
      </c>
      <c r="E415" s="4">
        <v>413</v>
      </c>
      <c r="F415" s="4" t="str">
        <f ca="1">IFERROR(__xludf.DUMMYFUNCTION("GOOGLETRANSLATE($B415, ""en"",""tr"")"),"büyüme hormonu")</f>
        <v>büyüme hormonu</v>
      </c>
      <c r="G415" s="4" t="str">
        <f ca="1">IFERROR(__xludf.DUMMYFUNCTION("GOOGLETRANSLATE($C415, ""en"",""tr"")"),"somatotropin")</f>
        <v>somatotropin</v>
      </c>
      <c r="H415" s="4">
        <v>3.92</v>
      </c>
    </row>
    <row r="416" spans="1:8" x14ac:dyDescent="0.3">
      <c r="A416" s="2">
        <v>414</v>
      </c>
      <c r="B416" s="2" t="s">
        <v>810</v>
      </c>
      <c r="C416" s="2" t="s">
        <v>811</v>
      </c>
      <c r="D416" s="2">
        <v>0.83</v>
      </c>
      <c r="E416" s="4">
        <v>414</v>
      </c>
      <c r="F416" s="4" t="str">
        <f ca="1">IFERROR(__xludf.DUMMYFUNCTION("GOOGLETRANSLATE($B416, ""en"",""tr"")"),"gökyüzü")</f>
        <v>gökyüzü</v>
      </c>
      <c r="G416" s="4" t="str">
        <f ca="1">IFERROR(__xludf.DUMMYFUNCTION("GOOGLETRANSLATE($C416, ""en"",""tr"")"),"rüya")</f>
        <v>rüya</v>
      </c>
      <c r="H416" s="4">
        <v>0.83</v>
      </c>
    </row>
    <row r="417" spans="1:8" x14ac:dyDescent="0.3">
      <c r="A417" s="2">
        <v>415</v>
      </c>
      <c r="B417" s="2" t="s">
        <v>812</v>
      </c>
      <c r="C417" s="2" t="s">
        <v>813</v>
      </c>
      <c r="D417" s="2">
        <v>0.42</v>
      </c>
      <c r="E417" s="4">
        <v>415</v>
      </c>
      <c r="F417" s="4" t="str">
        <f ca="1">IFERROR(__xludf.DUMMYFUNCTION("GOOGLETRANSLATE($B417, ""en"",""tr"")"),"teklif fiyatı")</f>
        <v>teklif fiyatı</v>
      </c>
      <c r="G417" s="4" t="str">
        <f ca="1">IFERROR(__xludf.DUMMYFUNCTION("GOOGLETRANSLATE($C417, ""en"",""tr"")"),"Londra")</f>
        <v>Londra</v>
      </c>
      <c r="H417" s="4">
        <v>0.42</v>
      </c>
    </row>
    <row r="418" spans="1:8" x14ac:dyDescent="0.3">
      <c r="A418" s="2">
        <v>416</v>
      </c>
      <c r="B418" s="2" t="s">
        <v>814</v>
      </c>
      <c r="C418" s="2" t="s">
        <v>815</v>
      </c>
      <c r="D418" s="2">
        <v>1.67</v>
      </c>
      <c r="E418" s="4">
        <v>416</v>
      </c>
      <c r="F418" s="4" t="str">
        <f ca="1">IFERROR(__xludf.DUMMYFUNCTION("GOOGLETRANSLATE($B418, ""en"",""tr"")"),"gübre")</f>
        <v>gübre</v>
      </c>
      <c r="G418" s="4" t="str">
        <f ca="1">IFERROR(__xludf.DUMMYFUNCTION("GOOGLETRANSLATE($C418, ""en"",""tr"")"),"büyüme")</f>
        <v>büyüme</v>
      </c>
      <c r="H418" s="4">
        <v>1.67</v>
      </c>
    </row>
    <row r="419" spans="1:8" x14ac:dyDescent="0.3">
      <c r="A419" s="2">
        <v>417</v>
      </c>
      <c r="B419" s="2" t="s">
        <v>816</v>
      </c>
      <c r="C419" s="2" t="s">
        <v>817</v>
      </c>
      <c r="D419" s="2">
        <v>2.5</v>
      </c>
      <c r="E419" s="4">
        <v>417</v>
      </c>
      <c r="F419" s="4" t="str">
        <f ca="1">IFERROR(__xludf.DUMMYFUNCTION("GOOGLETRANSLATE($B419, ""en"",""tr"")"),"başlık etiketi")</f>
        <v>başlık etiketi</v>
      </c>
      <c r="G419" s="4" t="str">
        <f ca="1">IFERROR(__xludf.DUMMYFUNCTION("GOOGLETRANSLATE($C419, ""en"",""tr"")"),"başlık")</f>
        <v>başlık</v>
      </c>
      <c r="H419" s="4">
        <v>2.5</v>
      </c>
    </row>
    <row r="420" spans="1:8" x14ac:dyDescent="0.3">
      <c r="A420" s="2">
        <v>418</v>
      </c>
      <c r="B420" s="2" t="s">
        <v>818</v>
      </c>
      <c r="C420" s="2" t="s">
        <v>819</v>
      </c>
      <c r="D420" s="2">
        <v>3.17</v>
      </c>
      <c r="E420" s="4">
        <v>418</v>
      </c>
      <c r="F420" s="4" t="str">
        <f ca="1">IFERROR(__xludf.DUMMYFUNCTION("GOOGLETRANSLATE($B420, ""en"",""tr"")"),"Orion")</f>
        <v>Orion</v>
      </c>
      <c r="G420" s="4" t="str">
        <f ca="1">IFERROR(__xludf.DUMMYFUNCTION("GOOGLETRANSLATE($C420, ""en"",""tr"")"),"takımyıldız")</f>
        <v>takımyıldız</v>
      </c>
      <c r="H420" s="4">
        <v>3.17</v>
      </c>
    </row>
    <row r="421" spans="1:8" x14ac:dyDescent="0.3">
      <c r="A421" s="2">
        <v>419</v>
      </c>
      <c r="B421" s="2" t="s">
        <v>820</v>
      </c>
      <c r="C421" s="2" t="s">
        <v>821</v>
      </c>
      <c r="D421" s="2">
        <v>0.17</v>
      </c>
      <c r="E421" s="4">
        <v>419</v>
      </c>
      <c r="F421" s="4" t="str">
        <f ca="1">IFERROR(__xludf.DUMMYFUNCTION("GOOGLETRANSLATE($B421, ""en"",""tr"")"),"Nietzsche")</f>
        <v>Nietzsche</v>
      </c>
      <c r="G421" s="4" t="str">
        <f ca="1">IFERROR(__xludf.DUMMYFUNCTION("GOOGLETRANSLATE($C421, ""en"",""tr"")"),"Chelsea")</f>
        <v>Chelsea</v>
      </c>
      <c r="H421" s="4">
        <v>0.17</v>
      </c>
    </row>
    <row r="422" spans="1:8" x14ac:dyDescent="0.3">
      <c r="A422" s="2">
        <v>420</v>
      </c>
      <c r="B422" s="2" t="s">
        <v>822</v>
      </c>
      <c r="C422" s="2" t="s">
        <v>823</v>
      </c>
      <c r="D422" s="2">
        <v>1.5</v>
      </c>
      <c r="E422" s="4">
        <v>420</v>
      </c>
      <c r="F422" s="4" t="str">
        <f ca="1">IFERROR(__xludf.DUMMYFUNCTION("GOOGLETRANSLATE($B422, ""en"",""tr"")"),"karşılıklı saygı")</f>
        <v>karşılıklı saygı</v>
      </c>
      <c r="G422" s="4" t="str">
        <f ca="1">IFERROR(__xludf.DUMMYFUNCTION("GOOGLETRANSLATE($C422, ""en"",""tr"")"),"yarışma")</f>
        <v>yarışma</v>
      </c>
      <c r="H422" s="4">
        <v>1.5</v>
      </c>
    </row>
    <row r="423" spans="1:8" x14ac:dyDescent="0.3">
      <c r="A423" s="2">
        <v>421</v>
      </c>
      <c r="B423" s="2" t="s">
        <v>824</v>
      </c>
      <c r="C423" s="2" t="s">
        <v>825</v>
      </c>
      <c r="D423" s="2">
        <v>3</v>
      </c>
      <c r="E423" s="4">
        <v>421</v>
      </c>
      <c r="F423" s="4" t="str">
        <f ca="1">IFERROR(__xludf.DUMMYFUNCTION("GOOGLETRANSLATE($B423, ""en"",""tr"")"),"dal")</f>
        <v>dal</v>
      </c>
      <c r="G423" s="4" t="str">
        <f ca="1">IFERROR(__xludf.DUMMYFUNCTION("GOOGLETRANSLATE($C423, ""en"",""tr"")"),"kol")</f>
        <v>kol</v>
      </c>
      <c r="H423" s="4">
        <v>3</v>
      </c>
    </row>
    <row r="424" spans="1:8" x14ac:dyDescent="0.3">
      <c r="A424" s="2">
        <v>422</v>
      </c>
      <c r="B424" s="2" t="s">
        <v>826</v>
      </c>
      <c r="C424" s="2" t="s">
        <v>827</v>
      </c>
      <c r="D424" s="2">
        <v>0.08</v>
      </c>
      <c r="E424" s="4">
        <v>422</v>
      </c>
      <c r="F424" s="4" t="str">
        <f ca="1">IFERROR(__xludf.DUMMYFUNCTION("GOOGLETRANSLATE($B424, ""en"",""tr"")"),"kurban")</f>
        <v>kurban</v>
      </c>
      <c r="G424" s="4" t="str">
        <f ca="1">IFERROR(__xludf.DUMMYFUNCTION("GOOGLETRANSLATE($C424, ""en"",""tr"")"),"telefon")</f>
        <v>telefon</v>
      </c>
      <c r="H424" s="4">
        <v>0.08</v>
      </c>
    </row>
    <row r="425" spans="1:8" x14ac:dyDescent="0.3">
      <c r="A425" s="2">
        <v>423</v>
      </c>
      <c r="B425" s="2" t="s">
        <v>828</v>
      </c>
      <c r="C425" s="2" t="s">
        <v>829</v>
      </c>
      <c r="D425" s="2">
        <v>0.5</v>
      </c>
      <c r="E425" s="4">
        <v>423</v>
      </c>
      <c r="F425" s="4" t="str">
        <f ca="1">IFERROR(__xludf.DUMMYFUNCTION("GOOGLETRANSLATE($B425, ""en"",""tr"")"),"standart sapma")</f>
        <v>standart sapma</v>
      </c>
      <c r="G425" s="4" t="str">
        <f ca="1">IFERROR(__xludf.DUMMYFUNCTION("GOOGLETRANSLATE($C425, ""en"",""tr"")"),"birikim")</f>
        <v>birikim</v>
      </c>
      <c r="H425" s="4">
        <v>0.5</v>
      </c>
    </row>
    <row r="426" spans="1:8" x14ac:dyDescent="0.3">
      <c r="A426" s="2">
        <v>424</v>
      </c>
      <c r="B426" s="2" t="s">
        <v>830</v>
      </c>
      <c r="C426" s="2" t="s">
        <v>355</v>
      </c>
      <c r="D426" s="2">
        <v>2.08</v>
      </c>
      <c r="E426" s="4">
        <v>424</v>
      </c>
      <c r="F426" s="4" t="str">
        <f ca="1">IFERROR(__xludf.DUMMYFUNCTION("GOOGLETRANSLATE($B426, ""en"",""tr"")"),"çığ")</f>
        <v>çığ</v>
      </c>
      <c r="G426" s="4" t="str">
        <f ca="1">IFERROR(__xludf.DUMMYFUNCTION("GOOGLETRANSLATE($C426, ""en"",""tr"")"),"kar")</f>
        <v>kar</v>
      </c>
      <c r="H426" s="4">
        <v>2.08</v>
      </c>
    </row>
    <row r="427" spans="1:8" x14ac:dyDescent="0.3">
      <c r="A427" s="2">
        <v>425</v>
      </c>
      <c r="B427" s="2" t="s">
        <v>831</v>
      </c>
      <c r="C427" s="2" t="s">
        <v>832</v>
      </c>
      <c r="D427" s="2">
        <v>2</v>
      </c>
      <c r="E427" s="4">
        <v>425</v>
      </c>
      <c r="F427" s="4" t="str">
        <f ca="1">IFERROR(__xludf.DUMMYFUNCTION("GOOGLETRANSLATE($B427, ""en"",""tr"")"),"Öğretmen")</f>
        <v>Öğretmen</v>
      </c>
      <c r="G427" s="4" t="str">
        <f ca="1">IFERROR(__xludf.DUMMYFUNCTION("GOOGLETRANSLATE($C427, ""en"",""tr"")"),"öğrenci")</f>
        <v>öğrenci</v>
      </c>
      <c r="H427" s="4">
        <v>2</v>
      </c>
    </row>
    <row r="428" spans="1:8" x14ac:dyDescent="0.3">
      <c r="A428" s="2">
        <v>426</v>
      </c>
      <c r="B428" s="2" t="s">
        <v>833</v>
      </c>
      <c r="C428" s="2" t="s">
        <v>834</v>
      </c>
      <c r="D428" s="2">
        <v>1.5</v>
      </c>
      <c r="E428" s="4">
        <v>426</v>
      </c>
      <c r="F428" s="4" t="str">
        <f ca="1">IFERROR(__xludf.DUMMYFUNCTION("GOOGLETRANSLATE($B428, ""en"",""tr"")"),"sığırlar")</f>
        <v>sığırlar</v>
      </c>
      <c r="G428" s="4" t="str">
        <f ca="1">IFERROR(__xludf.DUMMYFUNCTION("GOOGLETRANSLATE($C428, ""en"",""tr"")"),"yoğurt")</f>
        <v>yoğurt</v>
      </c>
      <c r="H428" s="4">
        <v>1.5</v>
      </c>
    </row>
    <row r="429" spans="1:8" x14ac:dyDescent="0.3">
      <c r="A429" s="2">
        <v>427</v>
      </c>
      <c r="B429" s="2" t="s">
        <v>835</v>
      </c>
      <c r="C429" s="2" t="s">
        <v>836</v>
      </c>
      <c r="D429" s="2">
        <v>3.92</v>
      </c>
      <c r="E429" s="4">
        <v>427</v>
      </c>
      <c r="F429" s="4" t="str">
        <f ca="1">IFERROR(__xludf.DUMMYFUNCTION("GOOGLETRANSLATE($B429, ""en"",""tr"")"),"cinsiyetçilik")</f>
        <v>cinsiyetçilik</v>
      </c>
      <c r="G429" s="4" t="str">
        <f ca="1">IFERROR(__xludf.DUMMYFUNCTION("GOOGLETRANSLATE($C429, ""en"",""tr"")"),"Cinsiyet ayrımcılığı")</f>
        <v>Cinsiyet ayrımcılığı</v>
      </c>
      <c r="H429" s="4">
        <v>3.92</v>
      </c>
    </row>
    <row r="430" spans="1:8" x14ac:dyDescent="0.3">
      <c r="A430" s="2">
        <v>428</v>
      </c>
      <c r="B430" s="2" t="s">
        <v>837</v>
      </c>
      <c r="C430" s="2" t="s">
        <v>227</v>
      </c>
      <c r="D430" s="2">
        <v>0</v>
      </c>
      <c r="E430" s="4">
        <v>428</v>
      </c>
      <c r="F430" s="4" t="str">
        <f ca="1">IFERROR(__xludf.DUMMYFUNCTION("GOOGLETRANSLATE($B430, ""en"",""tr"")"),"Güney Kutbu")</f>
        <v>Güney Kutbu</v>
      </c>
      <c r="G430" s="4" t="str">
        <f ca="1">IFERROR(__xludf.DUMMYFUNCTION("GOOGLETRANSLATE($C430, ""en"",""tr"")"),"dans")</f>
        <v>dans</v>
      </c>
      <c r="H430" s="4">
        <v>0</v>
      </c>
    </row>
    <row r="431" spans="1:8" x14ac:dyDescent="0.3">
      <c r="A431" s="2">
        <v>429</v>
      </c>
      <c r="B431" s="2" t="s">
        <v>838</v>
      </c>
      <c r="C431" s="2" t="s">
        <v>839</v>
      </c>
      <c r="D431" s="2">
        <v>3.33</v>
      </c>
      <c r="E431" s="4">
        <v>429</v>
      </c>
      <c r="F431" s="4" t="str">
        <f ca="1">IFERROR(__xludf.DUMMYFUNCTION("GOOGLETRANSLATE($B431, ""en"",""tr"")"),"Savcı")</f>
        <v>Savcı</v>
      </c>
      <c r="G431" s="4" t="str">
        <f ca="1">IFERROR(__xludf.DUMMYFUNCTION("GOOGLETRANSLATE($C431, ""en"",""tr"")"),"avukat")</f>
        <v>avukat</v>
      </c>
      <c r="H431" s="4">
        <v>3.33</v>
      </c>
    </row>
    <row r="432" spans="1:8" x14ac:dyDescent="0.3">
      <c r="A432" s="2">
        <v>430</v>
      </c>
      <c r="B432" s="2" t="s">
        <v>840</v>
      </c>
      <c r="C432" s="2" t="s">
        <v>769</v>
      </c>
      <c r="D432" s="2">
        <v>2.5</v>
      </c>
      <c r="E432" s="4">
        <v>430</v>
      </c>
      <c r="F432" s="4" t="str">
        <f ca="1">IFERROR(__xludf.DUMMYFUNCTION("GOOGLETRANSLATE($B432, ""en"",""tr"")"),"raket")</f>
        <v>raket</v>
      </c>
      <c r="G432" s="4" t="str">
        <f ca="1">IFERROR(__xludf.DUMMYFUNCTION("GOOGLETRANSLATE($C432, ""en"",""tr"")"),"top")</f>
        <v>top</v>
      </c>
      <c r="H432" s="4">
        <v>2.5</v>
      </c>
    </row>
    <row r="433" spans="1:8" x14ac:dyDescent="0.3">
      <c r="A433" s="2">
        <v>431</v>
      </c>
      <c r="B433" s="2" t="s">
        <v>841</v>
      </c>
      <c r="C433" s="2" t="s">
        <v>842</v>
      </c>
      <c r="D433" s="2">
        <v>3.25</v>
      </c>
      <c r="E433" s="4">
        <v>431</v>
      </c>
      <c r="F433" s="4" t="str">
        <f ca="1">IFERROR(__xludf.DUMMYFUNCTION("GOOGLETRANSLATE($B433, ""en"",""tr"")"),"banka borcu")</f>
        <v>banka borcu</v>
      </c>
      <c r="G433" s="4" t="str">
        <f ca="1">IFERROR(__xludf.DUMMYFUNCTION("GOOGLETRANSLATE($C433, ""en"",""tr"")"),"borç")</f>
        <v>borç</v>
      </c>
      <c r="H433" s="4">
        <v>3.25</v>
      </c>
    </row>
    <row r="434" spans="1:8" x14ac:dyDescent="0.3">
      <c r="A434" s="2">
        <v>432</v>
      </c>
      <c r="B434" s="2" t="s">
        <v>843</v>
      </c>
      <c r="C434" s="2" t="s">
        <v>844</v>
      </c>
      <c r="D434" s="2">
        <v>1.58</v>
      </c>
      <c r="E434" s="4">
        <v>432</v>
      </c>
      <c r="F434" s="4" t="str">
        <f ca="1">IFERROR(__xludf.DUMMYFUNCTION("GOOGLETRANSLATE($B434, ""en"",""tr"")"),"perspektif")</f>
        <v>perspektif</v>
      </c>
      <c r="G434" s="4" t="str">
        <f ca="1">IFERROR(__xludf.DUMMYFUNCTION("GOOGLETRANSLATE($C434, ""en"",""tr"")"),"mesafe")</f>
        <v>mesafe</v>
      </c>
      <c r="H434" s="4">
        <v>1.58</v>
      </c>
    </row>
    <row r="435" spans="1:8" x14ac:dyDescent="0.3">
      <c r="A435" s="2">
        <v>433</v>
      </c>
      <c r="B435" s="2" t="s">
        <v>845</v>
      </c>
      <c r="C435" s="2" t="s">
        <v>846</v>
      </c>
      <c r="D435" s="2">
        <v>0.5</v>
      </c>
      <c r="E435" s="4">
        <v>433</v>
      </c>
      <c r="F435" s="4" t="str">
        <f ca="1">IFERROR(__xludf.DUMMYFUNCTION("GOOGLETRANSLATE($B435, ""en"",""tr"")"),"Federal")</f>
        <v>Federal</v>
      </c>
      <c r="G435" s="4" t="str">
        <f ca="1">IFERROR(__xludf.DUMMYFUNCTION("GOOGLETRANSLATE($C435, ""en"",""tr"")"),"Dylan")</f>
        <v>Dylan</v>
      </c>
      <c r="H435" s="4">
        <v>0.5</v>
      </c>
    </row>
    <row r="436" spans="1:8" x14ac:dyDescent="0.3">
      <c r="A436" s="2">
        <v>434</v>
      </c>
      <c r="B436" s="2" t="s">
        <v>839</v>
      </c>
      <c r="C436" s="2" t="s">
        <v>847</v>
      </c>
      <c r="D436" s="2">
        <v>0.33</v>
      </c>
      <c r="E436" s="4">
        <v>434</v>
      </c>
      <c r="F436" s="4" t="str">
        <f ca="1">IFERROR(__xludf.DUMMYFUNCTION("GOOGLETRANSLATE($B436, ""en"",""tr"")"),"avukat")</f>
        <v>avukat</v>
      </c>
      <c r="G436" s="4" t="str">
        <f ca="1">IFERROR(__xludf.DUMMYFUNCTION("GOOGLETRANSLATE($C436, ""en"",""tr"")"),"galeri")</f>
        <v>galeri</v>
      </c>
      <c r="H436" s="4">
        <v>0.33</v>
      </c>
    </row>
    <row r="437" spans="1:8" x14ac:dyDescent="0.3">
      <c r="A437" s="2">
        <v>435</v>
      </c>
      <c r="B437" s="2" t="s">
        <v>848</v>
      </c>
      <c r="C437" s="2" t="s">
        <v>849</v>
      </c>
      <c r="D437" s="2">
        <v>2.67</v>
      </c>
      <c r="E437" s="4">
        <v>435</v>
      </c>
      <c r="F437" s="4" t="str">
        <f ca="1">IFERROR(__xludf.DUMMYFUNCTION("GOOGLETRANSLATE($B437, ""en"",""tr"")"),"Yaşam Beklentisi")</f>
        <v>Yaşam Beklentisi</v>
      </c>
      <c r="G437" s="4" t="str">
        <f ca="1">IFERROR(__xludf.DUMMYFUNCTION("GOOGLETRANSLATE($C437, ""en"",""tr"")"),"istatistiksel önlem")</f>
        <v>istatistiksel önlem</v>
      </c>
      <c r="H437" s="4">
        <v>2.67</v>
      </c>
    </row>
    <row r="438" spans="1:8" x14ac:dyDescent="0.3">
      <c r="A438" s="2">
        <v>436</v>
      </c>
      <c r="B438" s="2" t="s">
        <v>850</v>
      </c>
      <c r="C438" s="2" t="s">
        <v>851</v>
      </c>
      <c r="D438" s="2">
        <v>1.83</v>
      </c>
      <c r="E438" s="4">
        <v>436</v>
      </c>
      <c r="F438" s="4" t="str">
        <f ca="1">IFERROR(__xludf.DUMMYFUNCTION("GOOGLETRANSLATE($B438, ""en"",""tr"")"),"hücre zarı")</f>
        <v>hücre zarı</v>
      </c>
      <c r="G438" s="4" t="str">
        <f ca="1">IFERROR(__xludf.DUMMYFUNCTION("GOOGLETRANSLATE($C438, ""en"",""tr"")"),"provirüs")</f>
        <v>provirüs</v>
      </c>
      <c r="H438" s="4">
        <v>1.83</v>
      </c>
    </row>
    <row r="439" spans="1:8" x14ac:dyDescent="0.3">
      <c r="A439" s="2">
        <v>437</v>
      </c>
      <c r="B439" s="2" t="s">
        <v>852</v>
      </c>
      <c r="C439" s="2" t="s">
        <v>853</v>
      </c>
      <c r="D439" s="2">
        <v>2</v>
      </c>
      <c r="E439" s="4">
        <v>437</v>
      </c>
      <c r="F439" s="4" t="str">
        <f ca="1">IFERROR(__xludf.DUMMYFUNCTION("GOOGLETRANSLATE($B439, ""en"",""tr"")"),"Avrupa Birliği")</f>
        <v>Avrupa Birliği</v>
      </c>
      <c r="G439" s="4" t="str">
        <f ca="1">IFERROR(__xludf.DUMMYFUNCTION("GOOGLETRANSLATE($C439, ""en"",""tr"")"),"Moskova")</f>
        <v>Moskova</v>
      </c>
      <c r="H439" s="4">
        <v>2</v>
      </c>
    </row>
    <row r="440" spans="1:8" x14ac:dyDescent="0.3">
      <c r="A440" s="2">
        <v>438</v>
      </c>
      <c r="B440" s="2" t="s">
        <v>854</v>
      </c>
      <c r="C440" s="2" t="s">
        <v>855</v>
      </c>
      <c r="D440" s="2">
        <v>2.17</v>
      </c>
      <c r="E440" s="4">
        <v>438</v>
      </c>
      <c r="F440" s="4" t="str">
        <f ca="1">IFERROR(__xludf.DUMMYFUNCTION("GOOGLETRANSLATE($B440, ""en"",""tr"")"),"dünya")</f>
        <v>dünya</v>
      </c>
      <c r="G440" s="4" t="str">
        <f ca="1">IFERROR(__xludf.DUMMYFUNCTION("GOOGLETRANSLATE($C440, ""en"",""tr"")"),"Asya")</f>
        <v>Asya</v>
      </c>
      <c r="H440" s="4">
        <v>2.17</v>
      </c>
    </row>
    <row r="441" spans="1:8" x14ac:dyDescent="0.3">
      <c r="A441" s="2">
        <v>439</v>
      </c>
      <c r="B441" s="2" t="s">
        <v>856</v>
      </c>
      <c r="C441" s="2" t="s">
        <v>857</v>
      </c>
      <c r="D441" s="2">
        <v>3.17</v>
      </c>
      <c r="E441" s="4">
        <v>439</v>
      </c>
      <c r="F441" s="4" t="str">
        <f ca="1">IFERROR(__xludf.DUMMYFUNCTION("GOOGLETRANSLATE($B441, ""en"",""tr"")"),"Boyamak")</f>
        <v>Boyamak</v>
      </c>
      <c r="G441" s="4" t="str">
        <f ca="1">IFERROR(__xludf.DUMMYFUNCTION("GOOGLETRANSLATE($C441, ""en"",""tr"")"),"Photoshop")</f>
        <v>Photoshop</v>
      </c>
      <c r="H441" s="4">
        <v>3.17</v>
      </c>
    </row>
    <row r="442" spans="1:8" x14ac:dyDescent="0.3">
      <c r="A442" s="2">
        <v>440</v>
      </c>
      <c r="B442" s="2" t="s">
        <v>858</v>
      </c>
      <c r="C442" s="2" t="s">
        <v>859</v>
      </c>
      <c r="D442" s="2">
        <v>1.83</v>
      </c>
      <c r="E442" s="4">
        <v>440</v>
      </c>
      <c r="F442" s="4" t="str">
        <f ca="1">IFERROR(__xludf.DUMMYFUNCTION("GOOGLETRANSLATE($B442, ""en"",""tr"")"),"Senato")</f>
        <v>Senato</v>
      </c>
      <c r="G442" s="4" t="str">
        <f ca="1">IFERROR(__xludf.DUMMYFUNCTION("GOOGLETRANSLATE($C442, ""en"",""tr"")"),"anayasa")</f>
        <v>anayasa</v>
      </c>
      <c r="H442" s="4">
        <v>1.83</v>
      </c>
    </row>
    <row r="443" spans="1:8" x14ac:dyDescent="0.3">
      <c r="A443" s="2">
        <v>441</v>
      </c>
      <c r="B443" s="2" t="s">
        <v>860</v>
      </c>
      <c r="C443" s="2" t="s">
        <v>861</v>
      </c>
      <c r="D443" s="2">
        <v>1</v>
      </c>
      <c r="E443" s="4">
        <v>441</v>
      </c>
      <c r="F443" s="4" t="str">
        <f ca="1">IFERROR(__xludf.DUMMYFUNCTION("GOOGLETRANSLATE($B443, ""en"",""tr"")"),"maydanoz")</f>
        <v>maydanoz</v>
      </c>
      <c r="G443" s="4" t="str">
        <f ca="1">IFERROR(__xludf.DUMMYFUNCTION("GOOGLETRANSLATE($C443, ""en"",""tr"")"),"kek")</f>
        <v>kek</v>
      </c>
      <c r="H443" s="4">
        <v>1</v>
      </c>
    </row>
    <row r="444" spans="1:8" x14ac:dyDescent="0.3">
      <c r="A444" s="2">
        <v>442</v>
      </c>
      <c r="B444" s="2" t="s">
        <v>240</v>
      </c>
      <c r="C444" s="2" t="s">
        <v>862</v>
      </c>
      <c r="D444" s="2">
        <v>3.83</v>
      </c>
      <c r="E444" s="4">
        <v>442</v>
      </c>
      <c r="F444" s="4" t="str">
        <f ca="1">IFERROR(__xludf.DUMMYFUNCTION("GOOGLETRANSLATE($B444, ""en"",""tr"")"),"akıl")</f>
        <v>akıl</v>
      </c>
      <c r="G444" s="4" t="str">
        <f ca="1">IFERROR(__xludf.DUMMYFUNCTION("GOOGLETRANSLATE($C444, ""en"",""tr"")"),"beyin")</f>
        <v>beyin</v>
      </c>
      <c r="H444" s="4">
        <v>3.83</v>
      </c>
    </row>
    <row r="445" spans="1:8" x14ac:dyDescent="0.3">
      <c r="A445" s="2">
        <v>443</v>
      </c>
      <c r="B445" s="2" t="s">
        <v>863</v>
      </c>
      <c r="C445" s="2" t="s">
        <v>864</v>
      </c>
      <c r="D445" s="2">
        <v>3.17</v>
      </c>
      <c r="E445" s="4">
        <v>443</v>
      </c>
      <c r="F445" s="4" t="str">
        <f ca="1">IFERROR(__xludf.DUMMYFUNCTION("GOOGLETRANSLATE($B445, ""en"",""tr"")"),"Mercedes")</f>
        <v>Mercedes</v>
      </c>
      <c r="G445" s="4" t="str">
        <f ca="1">IFERROR(__xludf.DUMMYFUNCTION("GOOGLETRANSLATE($C445, ""en"",""tr"")"),"Opel")</f>
        <v>Opel</v>
      </c>
      <c r="H445" s="4">
        <v>3.17</v>
      </c>
    </row>
    <row r="446" spans="1:8" x14ac:dyDescent="0.3">
      <c r="A446" s="2">
        <v>444</v>
      </c>
      <c r="B446" s="2" t="s">
        <v>865</v>
      </c>
      <c r="C446" s="2" t="s">
        <v>866</v>
      </c>
      <c r="D446" s="2">
        <v>0</v>
      </c>
      <c r="E446" s="4">
        <v>444</v>
      </c>
      <c r="F446" s="4" t="str">
        <f ca="1">IFERROR(__xludf.DUMMYFUNCTION("GOOGLETRANSLATE($B446, ""en"",""tr"")"),"çekiç")</f>
        <v>çekiç</v>
      </c>
      <c r="G446" s="4" t="str">
        <f ca="1">IFERROR(__xludf.DUMMYFUNCTION("GOOGLETRANSLATE($C446, ""en"",""tr"")"),"dişler")</f>
        <v>dişler</v>
      </c>
      <c r="H446" s="4">
        <v>0</v>
      </c>
    </row>
    <row r="447" spans="1:8" x14ac:dyDescent="0.3">
      <c r="A447" s="2">
        <v>445</v>
      </c>
      <c r="B447" s="2" t="s">
        <v>867</v>
      </c>
      <c r="C447" s="2" t="s">
        <v>868</v>
      </c>
      <c r="D447" s="2">
        <v>4</v>
      </c>
      <c r="E447" s="4">
        <v>445</v>
      </c>
      <c r="F447" s="4" t="str">
        <f ca="1">IFERROR(__xludf.DUMMYFUNCTION("GOOGLETRANSLATE($B447, ""en"",""tr"")"),"Rönesans")</f>
        <v>Rönesans</v>
      </c>
      <c r="G447" s="5" t="s">
        <v>869</v>
      </c>
      <c r="H447" s="4">
        <v>4</v>
      </c>
    </row>
    <row r="448" spans="1:8" x14ac:dyDescent="0.3">
      <c r="A448" s="2">
        <v>446</v>
      </c>
      <c r="B448" s="2" t="s">
        <v>870</v>
      </c>
      <c r="C448" s="2" t="s">
        <v>871</v>
      </c>
      <c r="D448" s="2">
        <v>1</v>
      </c>
      <c r="E448" s="4">
        <v>446</v>
      </c>
      <c r="F448" s="4" t="str">
        <f ca="1">IFERROR(__xludf.DUMMYFUNCTION("GOOGLETRANSLATE($B448, ""en"",""tr"")"),"etek")</f>
        <v>etek</v>
      </c>
      <c r="G448" s="4" t="str">
        <f ca="1">IFERROR(__xludf.DUMMYFUNCTION("GOOGLETRANSLATE($C448, ""en"",""tr"")"),"kol saati")</f>
        <v>kol saati</v>
      </c>
      <c r="H448" s="4">
        <v>1</v>
      </c>
    </row>
    <row r="449" spans="1:8" x14ac:dyDescent="0.3">
      <c r="A449" s="2">
        <v>447</v>
      </c>
      <c r="B449" s="2" t="s">
        <v>872</v>
      </c>
      <c r="C449" s="2" t="s">
        <v>346</v>
      </c>
      <c r="D449" s="2">
        <v>2.75</v>
      </c>
      <c r="E449" s="4">
        <v>447</v>
      </c>
      <c r="F449" s="4" t="str">
        <f ca="1">IFERROR(__xludf.DUMMYFUNCTION("GOOGLETRANSLATE($B449, ""en"",""tr"")"),"opera")</f>
        <v>opera</v>
      </c>
      <c r="G449" s="4" t="str">
        <f ca="1">IFERROR(__xludf.DUMMYFUNCTION("GOOGLETRANSLATE($C449, ""en"",""tr"")"),"sinema")</f>
        <v>sinema</v>
      </c>
      <c r="H449" s="4">
        <v>2.75</v>
      </c>
    </row>
    <row r="450" spans="1:8" x14ac:dyDescent="0.3">
      <c r="A450" s="2">
        <v>448</v>
      </c>
      <c r="B450" s="2" t="s">
        <v>831</v>
      </c>
      <c r="C450" s="2" t="s">
        <v>873</v>
      </c>
      <c r="D450" s="2">
        <v>3.83</v>
      </c>
      <c r="E450" s="4">
        <v>448</v>
      </c>
      <c r="F450" s="4" t="str">
        <f ca="1">IFERROR(__xludf.DUMMYFUNCTION("GOOGLETRANSLATE($B450, ""en"",""tr"")"),"Öğretmen")</f>
        <v>Öğretmen</v>
      </c>
      <c r="G450" s="4" t="str">
        <f ca="1">IFERROR(__xludf.DUMMYFUNCTION("GOOGLETRANSLATE($C450, ""en"",""tr"")"),"eğitmen")</f>
        <v>eğitmen</v>
      </c>
      <c r="H450" s="4">
        <v>3.83</v>
      </c>
    </row>
    <row r="451" spans="1:8" x14ac:dyDescent="0.3">
      <c r="A451" s="2">
        <v>449</v>
      </c>
      <c r="B451" s="2" t="s">
        <v>874</v>
      </c>
      <c r="C451" s="2" t="s">
        <v>342</v>
      </c>
      <c r="D451" s="2">
        <v>0.08</v>
      </c>
      <c r="E451" s="4">
        <v>449</v>
      </c>
      <c r="F451" s="4" t="str">
        <f ca="1">IFERROR(__xludf.DUMMYFUNCTION("GOOGLETRANSLATE($B451, ""en"",""tr"")"),"Güneş")</f>
        <v>Güneş</v>
      </c>
      <c r="G451" s="4" t="str">
        <f ca="1">IFERROR(__xludf.DUMMYFUNCTION("GOOGLETRANSLATE($C451, ""en"",""tr"")"),"kablo")</f>
        <v>kablo</v>
      </c>
      <c r="H451" s="4">
        <v>0.08</v>
      </c>
    </row>
    <row r="452" spans="1:8" x14ac:dyDescent="0.3">
      <c r="A452" s="2">
        <v>450</v>
      </c>
      <c r="B452" s="2" t="s">
        <v>875</v>
      </c>
      <c r="C452" s="2" t="s">
        <v>876</v>
      </c>
      <c r="D452" s="2">
        <v>2</v>
      </c>
      <c r="E452" s="4">
        <v>450</v>
      </c>
      <c r="F452" s="4" t="str">
        <f ca="1">IFERROR(__xludf.DUMMYFUNCTION("GOOGLETRANSLATE($B452, ""en"",""tr"")"),"durgunluk")</f>
        <v>durgunluk</v>
      </c>
      <c r="G452" s="4" t="str">
        <f ca="1">IFERROR(__xludf.DUMMYFUNCTION("GOOGLETRANSLATE($C452, ""en"",""tr"")"),"GSYİH")</f>
        <v>GSYİH</v>
      </c>
      <c r="H452" s="4">
        <v>2</v>
      </c>
    </row>
    <row r="453" spans="1:8" x14ac:dyDescent="0.3">
      <c r="A453" s="2">
        <v>451</v>
      </c>
      <c r="B453" s="2" t="s">
        <v>877</v>
      </c>
      <c r="C453" s="2" t="s">
        <v>878</v>
      </c>
      <c r="D453" s="2">
        <v>3.92</v>
      </c>
      <c r="E453" s="4">
        <v>451</v>
      </c>
      <c r="F453" s="4" t="str">
        <f ca="1">IFERROR(__xludf.DUMMYFUNCTION("GOOGLETRANSLATE($B453, ""en"",""tr"")"),"Sezar")</f>
        <v>Sezar</v>
      </c>
      <c r="G453" s="4" t="str">
        <f ca="1">IFERROR(__xludf.DUMMYFUNCTION("GOOGLETRANSLATE($C453, ""en"",""tr"")"),"julius Sezar")</f>
        <v>julius Sezar</v>
      </c>
      <c r="H453" s="4">
        <v>3.92</v>
      </c>
    </row>
    <row r="454" spans="1:8" x14ac:dyDescent="0.3">
      <c r="A454" s="2">
        <v>452</v>
      </c>
      <c r="B454" s="2" t="s">
        <v>879</v>
      </c>
      <c r="C454" s="2" t="s">
        <v>880</v>
      </c>
      <c r="D454" s="2">
        <v>0.67</v>
      </c>
      <c r="E454" s="4">
        <v>452</v>
      </c>
      <c r="F454" s="4" t="str">
        <f ca="1">IFERROR(__xludf.DUMMYFUNCTION("GOOGLETRANSLATE($B454, ""en"",""tr"")"),"hasta")</f>
        <v>hasta</v>
      </c>
      <c r="G454" s="4" t="str">
        <f ca="1">IFERROR(__xludf.DUMMYFUNCTION("GOOGLETRANSLATE($C454, ""en"",""tr"")"),"oturum")</f>
        <v>oturum</v>
      </c>
      <c r="H454" s="4">
        <v>0.67</v>
      </c>
    </row>
    <row r="455" spans="1:8" x14ac:dyDescent="0.3">
      <c r="A455" s="2">
        <v>453</v>
      </c>
      <c r="B455" s="2" t="s">
        <v>881</v>
      </c>
      <c r="C455" s="2" t="s">
        <v>882</v>
      </c>
      <c r="D455" s="2">
        <v>2.17</v>
      </c>
      <c r="E455" s="4">
        <v>453</v>
      </c>
      <c r="F455" s="4" t="str">
        <f ca="1">IFERROR(__xludf.DUMMYFUNCTION("GOOGLETRANSLATE($B455, ""en"",""tr"")"),"davranışçılık")</f>
        <v>davranışçılık</v>
      </c>
      <c r="G455" s="4" t="str">
        <f ca="1">IFERROR(__xludf.DUMMYFUNCTION("GOOGLETRANSLATE($C455, ""en"",""tr"")"),"terapi")</f>
        <v>terapi</v>
      </c>
      <c r="H455" s="4">
        <v>2.17</v>
      </c>
    </row>
    <row r="456" spans="1:8" x14ac:dyDescent="0.3">
      <c r="A456" s="2">
        <v>454</v>
      </c>
      <c r="B456" s="2" t="s">
        <v>575</v>
      </c>
      <c r="C456" s="2" t="s">
        <v>859</v>
      </c>
      <c r="D456" s="2">
        <v>1.25</v>
      </c>
      <c r="E456" s="4">
        <v>454</v>
      </c>
      <c r="F456" s="4" t="str">
        <f ca="1">IFERROR(__xludf.DUMMYFUNCTION("GOOGLETRANSLATE($B456, ""en"",""tr"")"),"imparator")</f>
        <v>imparator</v>
      </c>
      <c r="G456" s="4" t="str">
        <f ca="1">IFERROR(__xludf.DUMMYFUNCTION("GOOGLETRANSLATE($C456, ""en"",""tr"")"),"anayasa")</f>
        <v>anayasa</v>
      </c>
      <c r="H456" s="4">
        <v>1.25</v>
      </c>
    </row>
    <row r="457" spans="1:8" x14ac:dyDescent="0.3">
      <c r="A457" s="2">
        <v>455</v>
      </c>
      <c r="B457" s="2" t="s">
        <v>883</v>
      </c>
      <c r="C457" s="2" t="s">
        <v>884</v>
      </c>
      <c r="D457" s="2">
        <v>0.08</v>
      </c>
      <c r="E457" s="4">
        <v>455</v>
      </c>
      <c r="F457" s="4" t="str">
        <f ca="1">IFERROR(__xludf.DUMMYFUNCTION("GOOGLETRANSLATE($B457, ""en"",""tr"")"),"matematikçi")</f>
        <v>matematikçi</v>
      </c>
      <c r="G457" s="4" t="str">
        <f ca="1">IFERROR(__xludf.DUMMYFUNCTION("GOOGLETRANSLATE($C457, ""en"",""tr"")"),"göstermek")</f>
        <v>göstermek</v>
      </c>
      <c r="H457" s="4">
        <v>0.08</v>
      </c>
    </row>
    <row r="458" spans="1:8" x14ac:dyDescent="0.3">
      <c r="A458" s="2">
        <v>456</v>
      </c>
      <c r="B458" s="2" t="s">
        <v>885</v>
      </c>
      <c r="C458" s="2" t="s">
        <v>886</v>
      </c>
      <c r="D458" s="2">
        <v>1.75</v>
      </c>
      <c r="E458" s="4">
        <v>456</v>
      </c>
      <c r="F458" s="4" t="str">
        <f ca="1">IFERROR(__xludf.DUMMYFUNCTION("GOOGLETRANSLATE($B458, ""en"",""tr"")"),"entropi")</f>
        <v>entropi</v>
      </c>
      <c r="G458" s="4" t="str">
        <f ca="1">IFERROR(__xludf.DUMMYFUNCTION("GOOGLETRANSLATE($C458, ""en"",""tr"")"),"bilgi")</f>
        <v>bilgi</v>
      </c>
      <c r="H458" s="4">
        <v>1.75</v>
      </c>
    </row>
    <row r="459" spans="1:8" x14ac:dyDescent="0.3">
      <c r="A459" s="2">
        <v>457</v>
      </c>
      <c r="B459" s="2" t="s">
        <v>887</v>
      </c>
      <c r="C459" s="2" t="s">
        <v>888</v>
      </c>
      <c r="D459" s="2">
        <v>3.17</v>
      </c>
      <c r="E459" s="4">
        <v>457</v>
      </c>
      <c r="F459" s="4" t="str">
        <f ca="1">IFERROR(__xludf.DUMMYFUNCTION("GOOGLETRANSLATE($B459, ""en"",""tr"")"),"Gül suyu")</f>
        <v>Gül suyu</v>
      </c>
      <c r="G459" s="4" t="str">
        <f ca="1">IFERROR(__xludf.DUMMYFUNCTION("GOOGLETRANSLATE($C459, ""en"",""tr"")"),"gül yağı")</f>
        <v>gül yağı</v>
      </c>
      <c r="H459" s="4">
        <v>3.17</v>
      </c>
    </row>
    <row r="460" spans="1:8" x14ac:dyDescent="0.3">
      <c r="A460" s="2">
        <v>458</v>
      </c>
      <c r="B460" s="2" t="s">
        <v>889</v>
      </c>
      <c r="C460" s="2" t="s">
        <v>890</v>
      </c>
      <c r="D460" s="2">
        <v>3.5</v>
      </c>
      <c r="E460" s="4">
        <v>458</v>
      </c>
      <c r="F460" s="4" t="str">
        <f ca="1">IFERROR(__xludf.DUMMYFUNCTION("GOOGLETRANSLATE($B460, ""en"",""tr"")"),"narenciye")</f>
        <v>narenciye</v>
      </c>
      <c r="G460" s="4" t="str">
        <f ca="1">IFERROR(__xludf.DUMMYFUNCTION("GOOGLETRANSLATE($C460, ""en"",""tr"")"),"greyfurt")</f>
        <v>greyfurt</v>
      </c>
      <c r="H460" s="4">
        <v>3.5</v>
      </c>
    </row>
    <row r="461" spans="1:8" x14ac:dyDescent="0.3">
      <c r="A461" s="2">
        <v>459</v>
      </c>
      <c r="B461" s="2" t="s">
        <v>891</v>
      </c>
      <c r="C461" s="2" t="s">
        <v>892</v>
      </c>
      <c r="D461" s="2">
        <v>1.75</v>
      </c>
      <c r="E461" s="4">
        <v>459</v>
      </c>
      <c r="F461" s="4" t="str">
        <f ca="1">IFERROR(__xludf.DUMMYFUNCTION("GOOGLETRANSLATE($B461, ""en"",""tr"")"),"Kraliçe Viktorya")</f>
        <v>Kraliçe Viktorya</v>
      </c>
      <c r="G461" s="4" t="str">
        <f ca="1">IFERROR(__xludf.DUMMYFUNCTION("GOOGLETRANSLATE($C461, ""en"",""tr"")"),"İngiltere")</f>
        <v>İngiltere</v>
      </c>
      <c r="H461" s="4">
        <v>1.75</v>
      </c>
    </row>
    <row r="462" spans="1:8" x14ac:dyDescent="0.3">
      <c r="A462" s="2">
        <v>460</v>
      </c>
      <c r="B462" s="2" t="s">
        <v>893</v>
      </c>
      <c r="C462" s="2" t="s">
        <v>894</v>
      </c>
      <c r="D462" s="2">
        <v>0.83</v>
      </c>
      <c r="E462" s="4">
        <v>460</v>
      </c>
      <c r="F462" s="4" t="str">
        <f ca="1">IFERROR(__xludf.DUMMYFUNCTION("GOOGLETRANSLATE($B462, ""en"",""tr"")"),"Olimpiyat Oyunları")</f>
        <v>Olimpiyat Oyunları</v>
      </c>
      <c r="G462" s="4" t="str">
        <f ca="1">IFERROR(__xludf.DUMMYFUNCTION("GOOGLETRANSLATE($C462, ""en"",""tr"")"),"ruh")</f>
        <v>ruh</v>
      </c>
      <c r="H462" s="4">
        <v>0.83</v>
      </c>
    </row>
    <row r="463" spans="1:8" x14ac:dyDescent="0.3">
      <c r="A463" s="2">
        <v>461</v>
      </c>
      <c r="B463" s="2" t="s">
        <v>895</v>
      </c>
      <c r="C463" s="2" t="s">
        <v>896</v>
      </c>
      <c r="D463" s="2">
        <v>1.67</v>
      </c>
      <c r="E463" s="4">
        <v>461</v>
      </c>
      <c r="F463" s="4" t="str">
        <f ca="1">IFERROR(__xludf.DUMMYFUNCTION("GOOGLETRANSLATE($B463, ""en"",""tr"")"),"piskopos")</f>
        <v>piskopos</v>
      </c>
      <c r="G463" s="4" t="str">
        <f ca="1">IFERROR(__xludf.DUMMYFUNCTION("GOOGLETRANSLATE($C463, ""en"",""tr"")"),"Müslüman")</f>
        <v>Müslüman</v>
      </c>
      <c r="H463" s="4">
        <v>1.67</v>
      </c>
    </row>
    <row r="464" spans="1:8" x14ac:dyDescent="0.3">
      <c r="A464" s="2">
        <v>462</v>
      </c>
      <c r="B464" s="2" t="s">
        <v>897</v>
      </c>
      <c r="C464" s="2" t="s">
        <v>898</v>
      </c>
      <c r="D464" s="2">
        <v>1</v>
      </c>
      <c r="E464" s="4">
        <v>462</v>
      </c>
      <c r="F464" s="4" t="str">
        <f ca="1">IFERROR(__xludf.DUMMYFUNCTION("GOOGLETRANSLATE($B464, ""en"",""tr"")"),"Adam")</f>
        <v>Adam</v>
      </c>
      <c r="G464" s="4" t="str">
        <f ca="1">IFERROR(__xludf.DUMMYFUNCTION("GOOGLETRANSLATE($C464, ""en"",""tr"")"),"şüphelenmek")</f>
        <v>şüphelenmek</v>
      </c>
      <c r="H464" s="4">
        <v>1</v>
      </c>
    </row>
    <row r="465" spans="1:8" x14ac:dyDescent="0.3">
      <c r="A465" s="2">
        <v>463</v>
      </c>
      <c r="B465" s="2" t="s">
        <v>899</v>
      </c>
      <c r="C465" s="2" t="s">
        <v>900</v>
      </c>
      <c r="D465" s="2">
        <v>1.83</v>
      </c>
      <c r="E465" s="4">
        <v>463</v>
      </c>
      <c r="F465" s="4" t="str">
        <f ca="1">IFERROR(__xludf.DUMMYFUNCTION("GOOGLETRANSLATE($B465, ""en"",""tr"")"),"göktaşı")</f>
        <v>göktaşı</v>
      </c>
      <c r="G465" s="5" t="s">
        <v>901</v>
      </c>
      <c r="H465" s="4">
        <v>1.83</v>
      </c>
    </row>
    <row r="466" spans="1:8" x14ac:dyDescent="0.3">
      <c r="A466" s="2">
        <v>464</v>
      </c>
      <c r="B466" s="2" t="s">
        <v>509</v>
      </c>
      <c r="C466" s="2" t="s">
        <v>902</v>
      </c>
      <c r="D466" s="2">
        <v>3.42</v>
      </c>
      <c r="E466" s="4">
        <v>464</v>
      </c>
      <c r="F466" s="4" t="str">
        <f ca="1">IFERROR(__xludf.DUMMYFUNCTION("GOOGLETRANSLATE($B466, ""en"",""tr"")"),"sembol")</f>
        <v>sembol</v>
      </c>
      <c r="G466" s="4" t="str">
        <f ca="1">IFERROR(__xludf.DUMMYFUNCTION("GOOGLETRANSLATE($C466, ""en"",""tr"")"),"imza")</f>
        <v>imza</v>
      </c>
      <c r="H466" s="4">
        <v>3.42</v>
      </c>
    </row>
    <row r="467" spans="1:8" x14ac:dyDescent="0.3">
      <c r="A467" s="2">
        <v>465</v>
      </c>
      <c r="B467" s="2" t="s">
        <v>783</v>
      </c>
      <c r="C467" s="2" t="s">
        <v>903</v>
      </c>
      <c r="D467" s="2">
        <v>0.08</v>
      </c>
      <c r="E467" s="4">
        <v>465</v>
      </c>
      <c r="F467" s="4" t="str">
        <f ca="1">IFERROR(__xludf.DUMMYFUNCTION("GOOGLETRANSLATE($B467, ""en"",""tr"")"),"antropoloji")</f>
        <v>antropoloji</v>
      </c>
      <c r="G467" s="4" t="str">
        <f ca="1">IFERROR(__xludf.DUMMYFUNCTION("GOOGLETRANSLATE($C467, ""en"",""tr"")"),"New York")</f>
        <v>New York</v>
      </c>
      <c r="H467" s="4">
        <v>0.08</v>
      </c>
    </row>
    <row r="468" spans="1:8" x14ac:dyDescent="0.3">
      <c r="A468" s="2">
        <v>466</v>
      </c>
      <c r="B468" s="2" t="s">
        <v>904</v>
      </c>
      <c r="C468" s="2" t="s">
        <v>905</v>
      </c>
      <c r="D468" s="2">
        <v>0</v>
      </c>
      <c r="E468" s="4">
        <v>466</v>
      </c>
      <c r="F468" s="4" t="str">
        <f ca="1">IFERROR(__xludf.DUMMYFUNCTION("GOOGLETRANSLATE($B468, ""en"",""tr"")"),"gün batımı")</f>
        <v>gün batımı</v>
      </c>
      <c r="G468" s="4" t="str">
        <f ca="1">IFERROR(__xludf.DUMMYFUNCTION("GOOGLETRANSLATE($C468, ""en"",""tr"")"),"masa")</f>
        <v>masa</v>
      </c>
      <c r="H468" s="4">
        <v>0</v>
      </c>
    </row>
    <row r="469" spans="1:8" x14ac:dyDescent="0.3">
      <c r="A469" s="2">
        <v>467</v>
      </c>
      <c r="B469" s="2" t="s">
        <v>906</v>
      </c>
      <c r="C469" s="2" t="s">
        <v>907</v>
      </c>
      <c r="D469" s="2">
        <v>3.75</v>
      </c>
      <c r="E469" s="4">
        <v>467</v>
      </c>
      <c r="F469" s="5" t="s">
        <v>908</v>
      </c>
      <c r="G469" s="4" t="str">
        <f ca="1">IFERROR(__xludf.DUMMYFUNCTION("GOOGLETRANSLATE($C469, ""en"",""tr"")"),"şehir")</f>
        <v>şehir</v>
      </c>
      <c r="H469" s="4">
        <v>3.75</v>
      </c>
    </row>
    <row r="470" spans="1:8" x14ac:dyDescent="0.3">
      <c r="A470" s="2">
        <v>468</v>
      </c>
      <c r="B470" s="2" t="s">
        <v>909</v>
      </c>
      <c r="C470" s="2" t="s">
        <v>910</v>
      </c>
      <c r="D470" s="2">
        <v>0</v>
      </c>
      <c r="E470" s="4">
        <v>468</v>
      </c>
      <c r="F470" s="4" t="str">
        <f ca="1">IFERROR(__xludf.DUMMYFUNCTION("GOOGLETRANSLATE($B470, ""en"",""tr"")"),"ceket")</f>
        <v>ceket</v>
      </c>
      <c r="G470" s="4" t="str">
        <f ca="1">IFERROR(__xludf.DUMMYFUNCTION("GOOGLETRANSLATE($C470, ""en"",""tr"")"),"maden suyu")</f>
        <v>maden suyu</v>
      </c>
      <c r="H470" s="4">
        <v>0</v>
      </c>
    </row>
    <row r="471" spans="1:8" x14ac:dyDescent="0.3">
      <c r="A471" s="2">
        <v>469</v>
      </c>
      <c r="B471" s="2" t="s">
        <v>911</v>
      </c>
      <c r="C471" s="2" t="s">
        <v>912</v>
      </c>
      <c r="D471" s="2">
        <v>3</v>
      </c>
      <c r="E471" s="4">
        <v>469</v>
      </c>
      <c r="F471" s="4" t="str">
        <f ca="1">IFERROR(__xludf.DUMMYFUNCTION("GOOGLETRANSLATE($B471, ""en"",""tr"")"),"doğa")</f>
        <v>doğa</v>
      </c>
      <c r="G471" s="4" t="str">
        <f ca="1">IFERROR(__xludf.DUMMYFUNCTION("GOOGLETRANSLATE($C471, ""en"",""tr"")"),"bitki örtüsü")</f>
        <v>bitki örtüsü</v>
      </c>
      <c r="H471" s="4">
        <v>3</v>
      </c>
    </row>
    <row r="472" spans="1:8" x14ac:dyDescent="0.3">
      <c r="A472" s="2">
        <v>470</v>
      </c>
      <c r="B472" s="2" t="s">
        <v>913</v>
      </c>
      <c r="C472" s="2" t="s">
        <v>914</v>
      </c>
      <c r="D472" s="2">
        <v>2.67</v>
      </c>
      <c r="E472" s="4">
        <v>470</v>
      </c>
      <c r="F472" s="5" t="s">
        <v>915</v>
      </c>
      <c r="G472" s="4" t="str">
        <f ca="1">IFERROR(__xludf.DUMMYFUNCTION("GOOGLETRANSLATE($C472, ""en"",""tr"")"),"derleyici")</f>
        <v>derleyici</v>
      </c>
      <c r="H472" s="4">
        <v>2.67</v>
      </c>
    </row>
    <row r="473" spans="1:8" x14ac:dyDescent="0.3">
      <c r="A473" s="2">
        <v>471</v>
      </c>
      <c r="B473" s="2" t="s">
        <v>916</v>
      </c>
      <c r="C473" s="2" t="s">
        <v>917</v>
      </c>
      <c r="D473" s="2">
        <v>2.58</v>
      </c>
      <c r="E473" s="4">
        <v>471</v>
      </c>
      <c r="F473" s="4" t="str">
        <f ca="1">IFERROR(__xludf.DUMMYFUNCTION("GOOGLETRANSLATE($B473, ""en"",""tr"")"),"Hamad")</f>
        <v>Hamad</v>
      </c>
      <c r="G473" s="4" t="str">
        <f ca="1">IFERROR(__xludf.DUMMYFUNCTION("GOOGLETRANSLATE($C473, ""en"",""tr"")"),"Roma")</f>
        <v>Roma</v>
      </c>
      <c r="H473" s="4">
        <v>2.58</v>
      </c>
    </row>
    <row r="474" spans="1:8" x14ac:dyDescent="0.3">
      <c r="A474" s="2">
        <v>472</v>
      </c>
      <c r="B474" s="2" t="s">
        <v>264</v>
      </c>
      <c r="C474" s="2" t="s">
        <v>918</v>
      </c>
      <c r="D474" s="2">
        <v>0.17</v>
      </c>
      <c r="E474" s="4">
        <v>472</v>
      </c>
      <c r="F474" s="4" t="str">
        <f ca="1">IFERROR(__xludf.DUMMYFUNCTION("GOOGLETRANSLATE($B474, ""en"",""tr"")"),"şemsiye")</f>
        <v>şemsiye</v>
      </c>
      <c r="G474" s="4" t="str">
        <f ca="1">IFERROR(__xludf.DUMMYFUNCTION("GOOGLETRANSLATE($C474, ""en"",""tr"")"),"ısıtıcı")</f>
        <v>ısıtıcı</v>
      </c>
      <c r="H474" s="4">
        <v>0.17</v>
      </c>
    </row>
    <row r="475" spans="1:8" x14ac:dyDescent="0.3">
      <c r="A475" s="2">
        <v>473</v>
      </c>
      <c r="B475" s="2" t="s">
        <v>919</v>
      </c>
      <c r="C475" s="2" t="s">
        <v>920</v>
      </c>
      <c r="D475" s="2">
        <v>3.25</v>
      </c>
      <c r="E475" s="4">
        <v>473</v>
      </c>
      <c r="F475" s="4" t="str">
        <f ca="1">IFERROR(__xludf.DUMMYFUNCTION("GOOGLETRANSLATE($B475, ""en"",""tr"")"),"onur")</f>
        <v>onur</v>
      </c>
      <c r="G475" s="4" t="str">
        <f ca="1">IFERROR(__xludf.DUMMYFUNCTION("GOOGLETRANSLATE($C475, ""en"",""tr"")"),"saygınlık")</f>
        <v>saygınlık</v>
      </c>
      <c r="H475" s="4">
        <v>3.25</v>
      </c>
    </row>
    <row r="476" spans="1:8" x14ac:dyDescent="0.3">
      <c r="A476" s="2">
        <v>474</v>
      </c>
      <c r="B476" s="2" t="s">
        <v>921</v>
      </c>
      <c r="C476" s="2" t="s">
        <v>922</v>
      </c>
      <c r="D476" s="2">
        <v>0.57999999999999996</v>
      </c>
      <c r="E476" s="4">
        <v>474</v>
      </c>
      <c r="F476" s="4" t="str">
        <f ca="1">IFERROR(__xludf.DUMMYFUNCTION("GOOGLETRANSLATE($B476, ""en"",""tr"")"),"nişan")</f>
        <v>nişan</v>
      </c>
      <c r="G476" s="4" t="str">
        <f ca="1">IFERROR(__xludf.DUMMYFUNCTION("GOOGLETRANSLATE($C476, ""en"",""tr"")"),"itibar")</f>
        <v>itibar</v>
      </c>
      <c r="H476" s="4">
        <v>0.57999999999999996</v>
      </c>
    </row>
    <row r="477" spans="1:8" x14ac:dyDescent="0.3">
      <c r="A477" s="2">
        <v>475</v>
      </c>
      <c r="B477" s="2" t="s">
        <v>923</v>
      </c>
      <c r="C477" s="2" t="s">
        <v>924</v>
      </c>
      <c r="D477" s="2">
        <v>3.17</v>
      </c>
      <c r="E477" s="4">
        <v>475</v>
      </c>
      <c r="F477" s="4" t="str">
        <f ca="1">IFERROR(__xludf.DUMMYFUNCTION("GOOGLETRANSLATE($B477, ""en"",""tr"")"),"KFC")</f>
        <v>KFC</v>
      </c>
      <c r="G477" s="4" t="str">
        <f ca="1">IFERROR(__xludf.DUMMYFUNCTION("GOOGLETRANSLATE($C477, ""en"",""tr"")"),"McDonald's")</f>
        <v>McDonald's</v>
      </c>
      <c r="H477" s="4">
        <v>3.17</v>
      </c>
    </row>
    <row r="478" spans="1:8" x14ac:dyDescent="0.3">
      <c r="A478" s="2">
        <v>476</v>
      </c>
      <c r="B478" s="2" t="s">
        <v>925</v>
      </c>
      <c r="C478" s="2" t="s">
        <v>926</v>
      </c>
      <c r="D478" s="2">
        <v>0.67</v>
      </c>
      <c r="E478" s="4">
        <v>476</v>
      </c>
      <c r="F478" s="4" t="str">
        <f ca="1">IFERROR(__xludf.DUMMYFUNCTION("GOOGLETRANSLATE($B478, ""en"",""tr"")"),"oyun kolu")</f>
        <v>oyun kolu</v>
      </c>
      <c r="G478" s="4" t="str">
        <f ca="1">IFERROR(__xludf.DUMMYFUNCTION("GOOGLETRANSLATE($C478, ""en"",""tr"")"),"radar")</f>
        <v>radar</v>
      </c>
      <c r="H478" s="4">
        <v>0.67</v>
      </c>
    </row>
    <row r="479" spans="1:8" x14ac:dyDescent="0.3">
      <c r="A479" s="2">
        <v>477</v>
      </c>
      <c r="B479" s="2" t="s">
        <v>927</v>
      </c>
      <c r="C479" s="2" t="s">
        <v>928</v>
      </c>
      <c r="D479" s="2">
        <v>3.58</v>
      </c>
      <c r="E479" s="4">
        <v>477</v>
      </c>
      <c r="F479" s="4" t="str">
        <f ca="1">IFERROR(__xludf.DUMMYFUNCTION("GOOGLETRANSLATE($B479, ""en"",""tr"")"),"Basmati")</f>
        <v>Basmati</v>
      </c>
      <c r="G479" s="4" t="str">
        <f ca="1">IFERROR(__xludf.DUMMYFUNCTION("GOOGLETRANSLATE($C479, ""en"",""tr"")"),"Yasemin pirinci")</f>
        <v>Yasemin pirinci</v>
      </c>
      <c r="H479" s="4">
        <v>3.58</v>
      </c>
    </row>
    <row r="480" spans="1:8" x14ac:dyDescent="0.3">
      <c r="A480" s="2">
        <v>478</v>
      </c>
      <c r="B480" s="2" t="s">
        <v>929</v>
      </c>
      <c r="C480" s="2" t="s">
        <v>930</v>
      </c>
      <c r="D480" s="2">
        <v>0.42</v>
      </c>
      <c r="E480" s="4">
        <v>478</v>
      </c>
      <c r="F480" s="4" t="str">
        <f ca="1">IFERROR(__xludf.DUMMYFUNCTION("GOOGLETRANSLATE($B480, ""en"",""tr"")"),"madalya")</f>
        <v>madalya</v>
      </c>
      <c r="G480" s="4" t="str">
        <f ca="1">IFERROR(__xludf.DUMMYFUNCTION("GOOGLETRANSLATE($C480, ""en"",""tr"")"),"eğitmenler")</f>
        <v>eğitmenler</v>
      </c>
      <c r="H480" s="4">
        <v>0.42</v>
      </c>
    </row>
    <row r="481" spans="1:8" x14ac:dyDescent="0.3">
      <c r="A481" s="2">
        <v>479</v>
      </c>
      <c r="B481" s="2" t="s">
        <v>931</v>
      </c>
      <c r="C481" s="2" t="s">
        <v>932</v>
      </c>
      <c r="D481" s="2">
        <v>0.08</v>
      </c>
      <c r="E481" s="4">
        <v>479</v>
      </c>
      <c r="F481" s="4" t="str">
        <f ca="1">IFERROR(__xludf.DUMMYFUNCTION("GOOGLETRANSLATE($B481, ""en"",""tr"")"),"kanun")</f>
        <v>kanun</v>
      </c>
      <c r="G481" s="5" t="s">
        <v>933</v>
      </c>
      <c r="H481" s="4">
        <v>0.08</v>
      </c>
    </row>
    <row r="482" spans="1:8" x14ac:dyDescent="0.3">
      <c r="A482" s="2">
        <v>480</v>
      </c>
      <c r="B482" s="2" t="s">
        <v>934</v>
      </c>
      <c r="C482" s="2" t="s">
        <v>935</v>
      </c>
      <c r="D482" s="2">
        <v>0</v>
      </c>
      <c r="E482" s="4">
        <v>480</v>
      </c>
      <c r="F482" s="4" t="str">
        <f ca="1">IFERROR(__xludf.DUMMYFUNCTION("GOOGLETRANSLATE($B482, ""en"",""tr"")"),"kaynak")</f>
        <v>kaynak</v>
      </c>
      <c r="G482" s="4" t="str">
        <f ca="1">IFERROR(__xludf.DUMMYFUNCTION("GOOGLETRANSLATE($C482, ""en"",""tr"")"),"kutu")</f>
        <v>kutu</v>
      </c>
      <c r="H482" s="4">
        <v>0</v>
      </c>
    </row>
    <row r="483" spans="1:8" x14ac:dyDescent="0.3">
      <c r="A483" s="2">
        <v>481</v>
      </c>
      <c r="B483" s="2" t="s">
        <v>66</v>
      </c>
      <c r="C483" s="2" t="s">
        <v>84</v>
      </c>
      <c r="D483" s="2">
        <v>0</v>
      </c>
      <c r="E483" s="4">
        <v>481</v>
      </c>
      <c r="F483" s="4" t="str">
        <f ca="1">IFERROR(__xludf.DUMMYFUNCTION("GOOGLETRANSLATE($B483, ""en"",""tr"")"),"tiyatro")</f>
        <v>tiyatro</v>
      </c>
      <c r="G483" s="4" t="str">
        <f ca="1">IFERROR(__xludf.DUMMYFUNCTION("GOOGLETRANSLATE($C483, ""en"",""tr"")"),"pil")</f>
        <v>pil</v>
      </c>
      <c r="H483" s="4">
        <v>0</v>
      </c>
    </row>
    <row r="484" spans="1:8" x14ac:dyDescent="0.3">
      <c r="A484" s="2">
        <v>482</v>
      </c>
      <c r="B484" s="2" t="s">
        <v>912</v>
      </c>
      <c r="C484" s="2" t="s">
        <v>216</v>
      </c>
      <c r="D484" s="2">
        <v>0</v>
      </c>
      <c r="E484" s="4">
        <v>482</v>
      </c>
      <c r="F484" s="4" t="str">
        <f ca="1">IFERROR(__xludf.DUMMYFUNCTION("GOOGLETRANSLATE($B484, ""en"",""tr"")"),"bitki örtüsü")</f>
        <v>bitki örtüsü</v>
      </c>
      <c r="G484" s="4" t="str">
        <f ca="1">IFERROR(__xludf.DUMMYFUNCTION("GOOGLETRANSLATE($C484, ""en"",""tr"")"),"internet tarayıcısı")</f>
        <v>internet tarayıcısı</v>
      </c>
      <c r="H484" s="4">
        <v>0</v>
      </c>
    </row>
    <row r="485" spans="1:8" x14ac:dyDescent="0.3">
      <c r="A485" s="2">
        <v>483</v>
      </c>
      <c r="B485" s="2" t="s">
        <v>936</v>
      </c>
      <c r="C485" s="2" t="s">
        <v>937</v>
      </c>
      <c r="D485" s="2">
        <v>3.25</v>
      </c>
      <c r="E485" s="4">
        <v>483</v>
      </c>
      <c r="F485" s="4" t="str">
        <f ca="1">IFERROR(__xludf.DUMMYFUNCTION("GOOGLETRANSLATE($B485, ""en"",""tr"")"),"gömlek")</f>
        <v>gömlek</v>
      </c>
      <c r="G485" s="4" t="str">
        <f ca="1">IFERROR(__xludf.DUMMYFUNCTION("GOOGLETRANSLATE($C485, ""en"",""tr"")"),"hırka")</f>
        <v>hırka</v>
      </c>
      <c r="H485" s="4">
        <v>3.25</v>
      </c>
    </row>
    <row r="486" spans="1:8" x14ac:dyDescent="0.3">
      <c r="A486" s="2">
        <v>484</v>
      </c>
      <c r="B486" s="2" t="s">
        <v>938</v>
      </c>
      <c r="C486" s="2" t="s">
        <v>444</v>
      </c>
      <c r="D486" s="2">
        <v>1.42</v>
      </c>
      <c r="E486" s="4">
        <v>484</v>
      </c>
      <c r="F486" s="4" t="str">
        <f ca="1">IFERROR(__xludf.DUMMYFUNCTION("GOOGLETRANSLATE($B486, ""en"",""tr"")"),"şiir")</f>
        <v>şiir</v>
      </c>
      <c r="G486" s="4" t="str">
        <f ca="1">IFERROR(__xludf.DUMMYFUNCTION("GOOGLETRANSLATE($C486, ""en"",""tr"")"),"ritim")</f>
        <v>ritim</v>
      </c>
      <c r="H486" s="4">
        <v>1.42</v>
      </c>
    </row>
    <row r="487" spans="1:8" x14ac:dyDescent="0.3">
      <c r="A487" s="2">
        <v>485</v>
      </c>
      <c r="B487" s="2" t="s">
        <v>939</v>
      </c>
      <c r="C487" s="2" t="s">
        <v>463</v>
      </c>
      <c r="D487" s="2">
        <v>2.58</v>
      </c>
      <c r="E487" s="4">
        <v>485</v>
      </c>
      <c r="F487" s="4" t="str">
        <f ca="1">IFERROR(__xludf.DUMMYFUNCTION("GOOGLETRANSLATE($B487, ""en"",""tr"")"),"peygamber")</f>
        <v>peygamber</v>
      </c>
      <c r="G487" s="4" t="str">
        <f ca="1">IFERROR(__xludf.DUMMYFUNCTION("GOOGLETRANSLATE($C487, ""en"",""tr"")"),"rahip")</f>
        <v>rahip</v>
      </c>
      <c r="H487" s="4">
        <v>2.58</v>
      </c>
    </row>
    <row r="488" spans="1:8" x14ac:dyDescent="0.3">
      <c r="A488" s="2">
        <v>486</v>
      </c>
      <c r="B488" s="2" t="s">
        <v>940</v>
      </c>
      <c r="C488" s="2" t="s">
        <v>941</v>
      </c>
      <c r="D488" s="2">
        <v>0.08</v>
      </c>
      <c r="E488" s="4">
        <v>486</v>
      </c>
      <c r="F488" s="4" t="str">
        <f ca="1">IFERROR(__xludf.DUMMYFUNCTION("GOOGLETRANSLATE($B488, ""en"",""tr"")"),"Oscar")</f>
        <v>Oscar</v>
      </c>
      <c r="G488" s="4" t="str">
        <f ca="1">IFERROR(__xludf.DUMMYFUNCTION("GOOGLETRANSLATE($C488, ""en"",""tr"")"),"stadyum")</f>
        <v>stadyum</v>
      </c>
      <c r="H488" s="4">
        <v>0.08</v>
      </c>
    </row>
    <row r="489" spans="1:8" x14ac:dyDescent="0.3">
      <c r="A489" s="2">
        <v>487</v>
      </c>
      <c r="B489" s="2" t="s">
        <v>942</v>
      </c>
      <c r="C489" s="2" t="s">
        <v>943</v>
      </c>
      <c r="D489" s="2">
        <v>3.25</v>
      </c>
      <c r="E489" s="4">
        <v>487</v>
      </c>
      <c r="F489" s="4" t="str">
        <f ca="1">IFERROR(__xludf.DUMMYFUNCTION("GOOGLETRANSLATE($B489, ""en"",""tr"")"),"tavla")</f>
        <v>tavla</v>
      </c>
      <c r="G489" s="5" t="s">
        <v>944</v>
      </c>
      <c r="H489" s="4">
        <v>3.25</v>
      </c>
    </row>
    <row r="490" spans="1:8" x14ac:dyDescent="0.3">
      <c r="A490" s="2">
        <v>488</v>
      </c>
      <c r="B490" s="2" t="s">
        <v>945</v>
      </c>
      <c r="C490" s="2" t="s">
        <v>946</v>
      </c>
      <c r="D490" s="2">
        <v>1.25</v>
      </c>
      <c r="E490" s="4">
        <v>488</v>
      </c>
      <c r="F490" s="4" t="str">
        <f ca="1">IFERROR(__xludf.DUMMYFUNCTION("GOOGLETRANSLATE($B490, ""en"",""tr"")"),"kelebek")</f>
        <v>kelebek</v>
      </c>
      <c r="G490" s="4" t="str">
        <f ca="1">IFERROR(__xludf.DUMMYFUNCTION("GOOGLETRANSLATE($C490, ""en"",""tr"")"),"gül")</f>
        <v>gül</v>
      </c>
      <c r="H490" s="4">
        <v>1.25</v>
      </c>
    </row>
    <row r="491" spans="1:8" x14ac:dyDescent="0.3">
      <c r="A491" s="2">
        <v>489</v>
      </c>
      <c r="B491" s="2" t="s">
        <v>947</v>
      </c>
      <c r="C491" s="2" t="s">
        <v>948</v>
      </c>
      <c r="D491" s="2">
        <v>1.58</v>
      </c>
      <c r="E491" s="4">
        <v>489</v>
      </c>
      <c r="F491" s="4" t="str">
        <f ca="1">IFERROR(__xludf.DUMMYFUNCTION("GOOGLETRANSLATE($B491, ""en"",""tr"")"),"çit")</f>
        <v>çit</v>
      </c>
      <c r="G491" s="4" t="str">
        <f ca="1">IFERROR(__xludf.DUMMYFUNCTION("GOOGLETRANSLATE($C491, ""en"",""tr"")"),"atlama")</f>
        <v>atlama</v>
      </c>
      <c r="H491" s="4">
        <v>1.58</v>
      </c>
    </row>
    <row r="492" spans="1:8" x14ac:dyDescent="0.3">
      <c r="A492" s="2">
        <v>490</v>
      </c>
      <c r="B492" s="2" t="s">
        <v>949</v>
      </c>
      <c r="C492" s="2" t="s">
        <v>65</v>
      </c>
      <c r="D492" s="2">
        <v>0.17</v>
      </c>
      <c r="E492" s="4">
        <v>490</v>
      </c>
      <c r="F492" s="4" t="str">
        <f ca="1">IFERROR(__xludf.DUMMYFUNCTION("GOOGLETRANSLATE($B492, ""en"",""tr"")"),"nihilizm")</f>
        <v>nihilizm</v>
      </c>
      <c r="G492" s="4" t="str">
        <f ca="1">IFERROR(__xludf.DUMMYFUNCTION("GOOGLETRANSLATE($C492, ""en"",""tr"")"),"film")</f>
        <v>film</v>
      </c>
      <c r="H492" s="4">
        <v>0.17</v>
      </c>
    </row>
    <row r="493" spans="1:8" x14ac:dyDescent="0.3">
      <c r="A493" s="2">
        <v>491</v>
      </c>
      <c r="B493" s="2" t="s">
        <v>950</v>
      </c>
      <c r="C493" s="2" t="s">
        <v>260</v>
      </c>
      <c r="D493" s="2">
        <v>2.25</v>
      </c>
      <c r="E493" s="4">
        <v>491</v>
      </c>
      <c r="F493" s="4" t="str">
        <f ca="1">IFERROR(__xludf.DUMMYFUNCTION("GOOGLETRANSLATE($B493, ""en"",""tr"")"),"asteroit")</f>
        <v>asteroit</v>
      </c>
      <c r="G493" s="4" t="str">
        <f ca="1">IFERROR(__xludf.DUMMYFUNCTION("GOOGLETRANSLATE($C493, ""en"",""tr"")"),"yıldız")</f>
        <v>yıldız</v>
      </c>
      <c r="H493" s="4">
        <v>2.25</v>
      </c>
    </row>
    <row r="494" spans="1:8" x14ac:dyDescent="0.3">
      <c r="A494" s="2">
        <v>492</v>
      </c>
      <c r="B494" s="2" t="s">
        <v>951</v>
      </c>
      <c r="C494" s="2" t="s">
        <v>952</v>
      </c>
      <c r="D494" s="2">
        <v>0.08</v>
      </c>
      <c r="E494" s="4">
        <v>492</v>
      </c>
      <c r="F494" s="4" t="str">
        <f ca="1">IFERROR(__xludf.DUMMYFUNCTION("GOOGLETRANSLATE($B494, ""en"",""tr"")"),"isyan")</f>
        <v>isyan</v>
      </c>
      <c r="G494" s="4" t="str">
        <f ca="1">IFERROR(__xludf.DUMMYFUNCTION("GOOGLETRANSLATE($C494, ""en"",""tr"")"),"çizim")</f>
        <v>çizim</v>
      </c>
      <c r="H494" s="4">
        <v>0.08</v>
      </c>
    </row>
    <row r="495" spans="1:8" x14ac:dyDescent="0.3">
      <c r="A495" s="2">
        <v>493</v>
      </c>
      <c r="B495" s="2" t="s">
        <v>953</v>
      </c>
      <c r="C495" s="2" t="s">
        <v>557</v>
      </c>
      <c r="D495" s="2">
        <v>1.25</v>
      </c>
      <c r="E495" s="4">
        <v>493</v>
      </c>
      <c r="F495" s="4" t="str">
        <f ca="1">IFERROR(__xludf.DUMMYFUNCTION("GOOGLETRANSLATE($B495, ""en"",""tr"")"),"iç çamaşırı")</f>
        <v>iç çamaşırı</v>
      </c>
      <c r="G495" s="4" t="str">
        <f ca="1">IFERROR(__xludf.DUMMYFUNCTION("GOOGLETRANSLATE($C495, ""en"",""tr"")"),"vücut")</f>
        <v>vücut</v>
      </c>
      <c r="H495" s="4">
        <v>1.25</v>
      </c>
    </row>
    <row r="496" spans="1:8" x14ac:dyDescent="0.3">
      <c r="A496" s="2">
        <v>494</v>
      </c>
      <c r="B496" s="2" t="s">
        <v>954</v>
      </c>
      <c r="C496" s="2" t="s">
        <v>248</v>
      </c>
      <c r="D496" s="2">
        <v>2.83</v>
      </c>
      <c r="E496" s="4">
        <v>494</v>
      </c>
      <c r="F496" s="4" t="str">
        <f ca="1">IFERROR(__xludf.DUMMYFUNCTION("GOOGLETRANSLATE($B496, ""en"",""tr"")"),"Boeing")</f>
        <v>Boeing</v>
      </c>
      <c r="G496" s="4" t="str">
        <f ca="1">IFERROR(__xludf.DUMMYFUNCTION("GOOGLETRANSLATE($C496, ""en"",""tr"")"),"uçak")</f>
        <v>uçak</v>
      </c>
      <c r="H496" s="4">
        <v>2.83</v>
      </c>
    </row>
    <row r="497" spans="1:8" x14ac:dyDescent="0.3">
      <c r="A497" s="2">
        <v>495</v>
      </c>
      <c r="B497" s="2" t="s">
        <v>955</v>
      </c>
      <c r="C497" s="2" t="s">
        <v>956</v>
      </c>
      <c r="D497" s="2">
        <v>2.42</v>
      </c>
      <c r="E497" s="4">
        <v>495</v>
      </c>
      <c r="F497" s="5" t="s">
        <v>957</v>
      </c>
      <c r="G497" s="5" t="s">
        <v>958</v>
      </c>
      <c r="H497" s="4">
        <v>2.42</v>
      </c>
    </row>
    <row r="498" spans="1:8" x14ac:dyDescent="0.3">
      <c r="A498" s="2">
        <v>496</v>
      </c>
      <c r="B498" s="2" t="s">
        <v>959</v>
      </c>
      <c r="C498" s="2" t="s">
        <v>960</v>
      </c>
      <c r="D498" s="2">
        <v>3.83</v>
      </c>
      <c r="E498" s="4">
        <v>496</v>
      </c>
      <c r="F498" s="4" t="str">
        <f ca="1">IFERROR(__xludf.DUMMYFUNCTION("GOOGLETRANSLATE($B498, ""en"",""tr"")"),"dönem")</f>
        <v>dönem</v>
      </c>
      <c r="G498" s="4" t="str">
        <f ca="1">IFERROR(__xludf.DUMMYFUNCTION("GOOGLETRANSLATE($C498, ""en"",""tr"")"),"terim")</f>
        <v>terim</v>
      </c>
      <c r="H498" s="4">
        <v>3.83</v>
      </c>
    </row>
    <row r="499" spans="1:8" x14ac:dyDescent="0.3">
      <c r="A499" s="2">
        <v>497</v>
      </c>
      <c r="B499" s="2" t="s">
        <v>961</v>
      </c>
      <c r="C499" s="2" t="s">
        <v>962</v>
      </c>
      <c r="D499" s="2">
        <v>3</v>
      </c>
      <c r="E499" s="4">
        <v>497</v>
      </c>
      <c r="F499" s="4" t="str">
        <f ca="1">IFERROR(__xludf.DUMMYFUNCTION("GOOGLETRANSLATE($B499, ""en"",""tr"")"),"turuncu")</f>
        <v>turuncu</v>
      </c>
      <c r="G499" s="4" t="str">
        <f ca="1">IFERROR(__xludf.DUMMYFUNCTION("GOOGLETRANSLATE($C499, ""en"",""tr"")"),"narenciye")</f>
        <v>narenciye</v>
      </c>
      <c r="H499" s="4">
        <v>3</v>
      </c>
    </row>
    <row r="500" spans="1:8" x14ac:dyDescent="0.3">
      <c r="A500" s="2">
        <v>498</v>
      </c>
      <c r="B500" s="2" t="s">
        <v>963</v>
      </c>
      <c r="C500" s="2" t="s">
        <v>806</v>
      </c>
      <c r="D500" s="2">
        <v>1.58</v>
      </c>
      <c r="E500" s="4">
        <v>498</v>
      </c>
      <c r="F500" s="4" t="str">
        <f ca="1">IFERROR(__xludf.DUMMYFUNCTION("GOOGLETRANSLATE($B500, ""en"",""tr"")"),"buzul")</f>
        <v>buzul</v>
      </c>
      <c r="G500" s="4" t="str">
        <f ca="1">IFERROR(__xludf.DUMMYFUNCTION("GOOGLETRANSLATE($C500, ""en"",""tr"")"),"küresel ısınma")</f>
        <v>küresel ısınma</v>
      </c>
      <c r="H500" s="4">
        <v>1.58</v>
      </c>
    </row>
    <row r="501" spans="1:8" x14ac:dyDescent="0.3">
      <c r="A501" s="2">
        <v>499</v>
      </c>
      <c r="B501" s="2" t="s">
        <v>964</v>
      </c>
      <c r="C501" s="2" t="s">
        <v>965</v>
      </c>
      <c r="D501" s="2">
        <v>2</v>
      </c>
      <c r="E501" s="4">
        <v>499</v>
      </c>
      <c r="F501" s="4" t="str">
        <f ca="1">IFERROR(__xludf.DUMMYFUNCTION("GOOGLETRANSLATE($B501, ""en"",""tr"")"),"tünel")</f>
        <v>tünel</v>
      </c>
      <c r="G501" s="4" t="str">
        <f ca="1">IFERROR(__xludf.DUMMYFUNCTION("GOOGLETRANSLATE($C501, ""en"",""tr"")"),"yol")</f>
        <v>yol</v>
      </c>
      <c r="H501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Bike</dc:creator>
  <cp:lastModifiedBy>Bike</cp:lastModifiedBy>
  <dcterms:created xsi:type="dcterms:W3CDTF">2023-09-12T09:24:56Z</dcterms:created>
  <dcterms:modified xsi:type="dcterms:W3CDTF">2023-09-12T09:27:53Z</dcterms:modified>
</cp:coreProperties>
</file>