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A3A5756-36DC-41AE-8A9A-7086B1E8D89E}" xr6:coauthVersionLast="47" xr6:coauthVersionMax="47" xr10:uidLastSave="{00000000-0000-0000-0000-000000000000}"/>
  <bookViews>
    <workbookView xWindow="7875" yWindow="3885" windowWidth="18075" windowHeight="16020" activeTab="1" xr2:uid="{C6F620AF-F251-40AC-AC35-B2596BA69E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J20" i="2"/>
  <c r="J8" i="2"/>
  <c r="J7" i="2"/>
  <c r="J6" i="2"/>
  <c r="J5" i="2"/>
  <c r="J32" i="2"/>
  <c r="J31" i="2"/>
  <c r="J33" i="2" s="1"/>
  <c r="G33" i="2"/>
  <c r="K33" i="2"/>
  <c r="H33" i="2"/>
  <c r="T33" i="2"/>
  <c r="S33" i="2"/>
  <c r="R33" i="2"/>
  <c r="E33" i="2"/>
  <c r="I33" i="2"/>
  <c r="E18" i="2"/>
  <c r="E16" i="2"/>
  <c r="E14" i="2"/>
  <c r="E8" i="2"/>
  <c r="I18" i="2"/>
  <c r="I16" i="2"/>
  <c r="I14" i="2"/>
  <c r="I8" i="2"/>
  <c r="S18" i="2"/>
  <c r="S16" i="2"/>
  <c r="S14" i="2"/>
  <c r="S15" i="2" s="1"/>
  <c r="T18" i="2"/>
  <c r="T16" i="2"/>
  <c r="R18" i="2"/>
  <c r="R16" i="2"/>
  <c r="T14" i="2"/>
  <c r="R14" i="2"/>
  <c r="T8" i="2"/>
  <c r="S8" i="2"/>
  <c r="E15" i="2" l="1"/>
  <c r="E17" i="2" s="1"/>
  <c r="I15" i="2"/>
  <c r="I17" i="2" s="1"/>
  <c r="T25" i="2"/>
  <c r="T15" i="2"/>
  <c r="T17" i="2" s="1"/>
  <c r="T19" i="2" s="1"/>
  <c r="I19" i="2"/>
  <c r="I21" i="2" s="1"/>
  <c r="I22" i="2" s="1"/>
  <c r="J34" i="2"/>
  <c r="K34" i="2"/>
  <c r="E19" i="2"/>
  <c r="E21" i="2" s="1"/>
  <c r="E22" i="2" s="1"/>
  <c r="I25" i="2"/>
  <c r="S17" i="2"/>
  <c r="S19" i="2" s="1"/>
  <c r="S21" i="2" s="1"/>
  <c r="S22" i="2" s="1"/>
  <c r="T21" i="2"/>
  <c r="T22" i="2" s="1"/>
  <c r="R8" i="2"/>
  <c r="R2" i="2"/>
  <c r="S2" i="2" s="1"/>
  <c r="T2" i="2" s="1"/>
  <c r="U2" i="2" s="1"/>
  <c r="V2" i="2" s="1"/>
  <c r="W2" i="2" s="1"/>
  <c r="G18" i="2"/>
  <c r="G16" i="2"/>
  <c r="G14" i="2"/>
  <c r="G8" i="2"/>
  <c r="G15" i="2" s="1"/>
  <c r="K18" i="2"/>
  <c r="K16" i="2"/>
  <c r="K14" i="2"/>
  <c r="K8" i="2"/>
  <c r="L33" i="2"/>
  <c r="L34" i="2" s="1"/>
  <c r="H18" i="2"/>
  <c r="J18" i="2" s="1"/>
  <c r="L18" i="2"/>
  <c r="L16" i="2"/>
  <c r="H16" i="2"/>
  <c r="J16" i="2" s="1"/>
  <c r="H14" i="2"/>
  <c r="J14" i="2" s="1"/>
  <c r="J15" i="2" s="1"/>
  <c r="J17" i="2" s="1"/>
  <c r="J19" i="2" s="1"/>
  <c r="J21" i="2" s="1"/>
  <c r="J22" i="2" s="1"/>
  <c r="L14" i="2"/>
  <c r="H8" i="2"/>
  <c r="L8" i="2"/>
  <c r="M7" i="1"/>
  <c r="M5" i="1"/>
  <c r="M4" i="1"/>
  <c r="L15" i="2" l="1"/>
  <c r="H15" i="2"/>
  <c r="H17" i="2" s="1"/>
  <c r="H19" i="2" s="1"/>
  <c r="H21" i="2" s="1"/>
  <c r="H22" i="2" s="1"/>
  <c r="R15" i="2"/>
  <c r="R17" i="2" s="1"/>
  <c r="R19" i="2" s="1"/>
  <c r="R21" i="2" s="1"/>
  <c r="R22" i="2" s="1"/>
  <c r="S25" i="2"/>
  <c r="L17" i="2"/>
  <c r="L19" i="2" s="1"/>
  <c r="L21" i="2" s="1"/>
  <c r="L22" i="2" s="1"/>
  <c r="K15" i="2"/>
  <c r="L25" i="2"/>
  <c r="G17" i="2"/>
  <c r="G19" i="2" s="1"/>
  <c r="G21" i="2" s="1"/>
  <c r="G22" i="2" s="1"/>
  <c r="K25" i="2"/>
  <c r="K17" i="2"/>
  <c r="K19" i="2" s="1"/>
  <c r="K21" i="2" s="1"/>
  <c r="K22" i="2" s="1"/>
</calcChain>
</file>

<file path=xl/sharedStrings.xml><?xml version="1.0" encoding="utf-8"?>
<sst xmlns="http://schemas.openxmlformats.org/spreadsheetml/2006/main" count="48" uniqueCount="43">
  <si>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</si>
  <si>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</si>
  <si>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</si>
  <si>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</si>
  <si>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</si>
  <si>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</si>
  <si>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</si>
  <si>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</si>
  <si>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</si>
  <si>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</si>
  <si>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</si>
  <si>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</si>
  <si>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</si>
  <si>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</si>
  <si>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</si>
  <si>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</si>
  <si>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</si>
  <si>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</si>
  <si>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</si>
  <si>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</si>
  <si>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Franchised</t>
  </si>
  <si>
    <t>Company Owned</t>
  </si>
  <si>
    <t>Other</t>
  </si>
  <si>
    <t>COGS</t>
  </si>
  <si>
    <t>Gross Margin</t>
  </si>
  <si>
    <t>SG&amp;A</t>
  </si>
  <si>
    <t>Operating Income</t>
  </si>
  <si>
    <t>EPS</t>
  </si>
  <si>
    <t>Net Income</t>
  </si>
  <si>
    <t>Taxes</t>
  </si>
  <si>
    <t>Pretax Income</t>
  </si>
  <si>
    <t>Interest</t>
  </si>
  <si>
    <t>Revenue y/y</t>
  </si>
  <si>
    <t>CapEx</t>
  </si>
  <si>
    <t>FCF</t>
  </si>
  <si>
    <t>CFFO</t>
  </si>
  <si>
    <t>Occupancy &amp; Other</t>
  </si>
  <si>
    <t>Payroll &amp; Employee</t>
  </si>
  <si>
    <t>Food &amp; Paper</t>
  </si>
  <si>
    <t>Franchised Costs</t>
  </si>
  <si>
    <t>Other Restaurant Expense</t>
  </si>
  <si>
    <t>TTM FCF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</si>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</sst>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B72872-0484-439D-BBCD-6D8272191F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FFF3-E2BB-4611-BF3F-91137EDB4909}">
  <dimension ref="L2:N14"/>
  <sheetViews>
    <sheetView zoomScaleNormal="100" workbookViewId="0">
      <selection activeCell="N1" sqref="N1"/>
    </sheetView>
  </sheetViews>
  <sheetFormatPr defaultRowHeight="12.75" x14ac:dyDescent="0.2"/>
  <sheetData>
    <row r="2" spans="12:14" x14ac:dyDescent="0.2">
      <c r="L2" t="s">
        <v>0</v>
      </c>
      <c r="M2" s="1">
        <v>294</v>
      </c>
    </row>
    <row r="3" spans="12:14" x14ac:dyDescent="0.2">
      <c r="L3" t="s">
        <v>1</v>
      </c>
      <c r="M3" s="2">
        <v>717.34324700000002</v>
      </c>
      <c r="N3" s="3" t="s">
        <v>6</v>
      </c>
    </row>
    <row r="4" spans="12:14" x14ac:dyDescent="0.2">
      <c r="L4" t="s">
        <v>2</v>
      </c>
      <c r="M4" s="2">
        <f>+M2*M3</f>
        <v>210898.91461800001</v>
      </c>
    </row>
    <row r="5" spans="12:14" x14ac:dyDescent="0.2">
      <c r="L5" t="s">
        <v>3</v>
      </c>
      <c r="M5" s="2">
        <f>792+2876</f>
        <v>3668</v>
      </c>
      <c r="N5" s="3" t="s">
        <v>6</v>
      </c>
    </row>
    <row r="6" spans="12:14" x14ac:dyDescent="0.2">
      <c r="L6" t="s">
        <v>4</v>
      </c>
      <c r="M6" s="2">
        <v>38524</v>
      </c>
      <c r="N6" s="3" t="s">
        <v>6</v>
      </c>
    </row>
    <row r="7" spans="12:14" x14ac:dyDescent="0.2">
      <c r="L7" t="s">
        <v>5</v>
      </c>
      <c r="M7" s="2">
        <f>+M4-M5+M6</f>
        <v>245754.91461800001</v>
      </c>
    </row>
    <row r="14" spans="12:14" x14ac:dyDescent="0.2">
      <c r="L14" t="s">
        <v>42</v>
      </c>
      <c r="M14" s="2">
        <v>7081.3</v>
      </c>
      <c r="N14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2642-4D7A-4AE0-8A78-A6DC6BBECDCF}">
  <dimension ref="A1:W34"/>
  <sheetViews>
    <sheetView tabSelected="1" zoomScaleNormal="1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T25" sqref="T25"/>
    </sheetView>
  </sheetViews>
  <sheetFormatPr defaultRowHeight="12.75" x14ac:dyDescent="0.2"/>
  <cols>
    <col min="1" max="1" width="5" bestFit="1" customWidth="1"/>
    <col min="2" max="2" width="23.140625" customWidth="1"/>
    <col min="3" max="14" width="9.140625" style="3"/>
  </cols>
  <sheetData>
    <row r="1" spans="1:23" x14ac:dyDescent="0.2">
      <c r="A1" t="s">
        <v>7</v>
      </c>
    </row>
    <row r="2" spans="1:2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Q2">
        <v>2020</v>
      </c>
      <c r="R2">
        <f>+Q2+1</f>
        <v>2021</v>
      </c>
      <c r="S2">
        <f t="shared" ref="S2:W2" si="0">+R2+1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</row>
    <row r="3" spans="1:23" x14ac:dyDescent="0.2">
      <c r="J3" s="3">
        <v>41822</v>
      </c>
    </row>
    <row r="5" spans="1:23" s="2" customFormat="1" x14ac:dyDescent="0.2">
      <c r="B5" s="2" t="s">
        <v>21</v>
      </c>
      <c r="C5" s="6"/>
      <c r="D5" s="6"/>
      <c r="E5" s="6">
        <v>2124.8000000000002</v>
      </c>
      <c r="F5" s="6"/>
      <c r="G5" s="6">
        <v>2224</v>
      </c>
      <c r="H5" s="6">
        <v>2487</v>
      </c>
      <c r="I5" s="6">
        <v>2556.1999999999998</v>
      </c>
      <c r="J5" s="6">
        <f>+T5-I5-H5-G5</f>
        <v>2474.4000000000005</v>
      </c>
      <c r="K5" s="6">
        <v>2355</v>
      </c>
      <c r="L5" s="6">
        <v>2461</v>
      </c>
      <c r="M5" s="6"/>
      <c r="N5" s="6"/>
      <c r="R5" s="2">
        <v>9787.4</v>
      </c>
      <c r="S5" s="2">
        <v>8748.4</v>
      </c>
      <c r="T5" s="2">
        <v>9741.6</v>
      </c>
    </row>
    <row r="6" spans="1:23" s="2" customFormat="1" x14ac:dyDescent="0.2">
      <c r="B6" s="2" t="s">
        <v>20</v>
      </c>
      <c r="C6" s="6"/>
      <c r="D6" s="6"/>
      <c r="E6" s="6">
        <v>3671.2</v>
      </c>
      <c r="F6" s="6"/>
      <c r="G6" s="6">
        <v>3588</v>
      </c>
      <c r="H6" s="6">
        <v>3933</v>
      </c>
      <c r="I6" s="6">
        <v>4047.1</v>
      </c>
      <c r="J6" s="6">
        <f>+T6-I6-H6-G6</f>
        <v>3868.3999999999996</v>
      </c>
      <c r="K6" s="6">
        <v>3723</v>
      </c>
      <c r="L6" s="6">
        <v>3940</v>
      </c>
      <c r="M6" s="6"/>
      <c r="N6" s="6"/>
      <c r="R6" s="2">
        <v>13085.4</v>
      </c>
      <c r="S6" s="2">
        <v>14105.8</v>
      </c>
      <c r="T6" s="2">
        <v>15436.5</v>
      </c>
    </row>
    <row r="7" spans="1:23" s="2" customFormat="1" x14ac:dyDescent="0.2">
      <c r="B7" s="2" t="s">
        <v>22</v>
      </c>
      <c r="C7" s="6"/>
      <c r="D7" s="6"/>
      <c r="E7" s="6">
        <v>76.099999999999994</v>
      </c>
      <c r="F7" s="6"/>
      <c r="G7" s="6">
        <v>86</v>
      </c>
      <c r="H7" s="6">
        <v>77</v>
      </c>
      <c r="I7" s="6">
        <v>88.9</v>
      </c>
      <c r="J7" s="6">
        <f>+T7-I7-H7-G7</f>
        <v>63.700000000000017</v>
      </c>
      <c r="K7" s="6">
        <v>91</v>
      </c>
      <c r="L7" s="6">
        <v>89</v>
      </c>
      <c r="M7" s="6"/>
      <c r="N7" s="6"/>
      <c r="R7" s="2">
        <v>350.1</v>
      </c>
      <c r="S7" s="2">
        <v>328.4</v>
      </c>
      <c r="T7" s="2">
        <v>315.60000000000002</v>
      </c>
    </row>
    <row r="8" spans="1:23" s="7" customFormat="1" x14ac:dyDescent="0.2">
      <c r="B8" s="7" t="s">
        <v>8</v>
      </c>
      <c r="C8" s="8"/>
      <c r="D8" s="8"/>
      <c r="E8" s="8">
        <f>+E5+E6+E7</f>
        <v>5872.1</v>
      </c>
      <c r="F8" s="8"/>
      <c r="G8" s="8">
        <f>+G5+G6+G7</f>
        <v>5898</v>
      </c>
      <c r="H8" s="8">
        <f>+H5+H6+H7</f>
        <v>6497</v>
      </c>
      <c r="I8" s="8">
        <f>SUM(I5:I7)</f>
        <v>6692.1999999999989</v>
      </c>
      <c r="J8" s="8">
        <f>SUM(J5:J7)</f>
        <v>6406.5</v>
      </c>
      <c r="K8" s="8">
        <f>+K5+K6+K7</f>
        <v>6169</v>
      </c>
      <c r="L8" s="8">
        <f>+L5+L6+L7</f>
        <v>6490</v>
      </c>
      <c r="M8" s="8"/>
      <c r="N8" s="8"/>
      <c r="R8" s="7">
        <f>SUM(R5:R7)</f>
        <v>23222.899999999998</v>
      </c>
      <c r="S8" s="7">
        <f>SUM(S5:S7)</f>
        <v>23182.6</v>
      </c>
      <c r="T8" s="7">
        <f>SUM(T5:T7)</f>
        <v>25493.699999999997</v>
      </c>
    </row>
    <row r="9" spans="1:23" s="2" customFormat="1" x14ac:dyDescent="0.2">
      <c r="B9" s="2" t="s">
        <v>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R9" s="2">
        <v>3096.8</v>
      </c>
      <c r="S9" s="2">
        <v>2737.3</v>
      </c>
      <c r="T9" s="2">
        <v>3039</v>
      </c>
    </row>
    <row r="10" spans="1:23" s="2" customFormat="1" x14ac:dyDescent="0.2">
      <c r="B10" s="2" t="s">
        <v>37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2">
        <v>2677.2</v>
      </c>
      <c r="S10" s="2">
        <v>2617.4</v>
      </c>
      <c r="T10" s="2">
        <v>2885.8</v>
      </c>
    </row>
    <row r="11" spans="1:23" s="2" customFormat="1" x14ac:dyDescent="0.2">
      <c r="B11" s="2" t="s">
        <v>36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R11" s="2">
        <v>2273.3000000000002</v>
      </c>
      <c r="S11" s="2">
        <v>2026.2</v>
      </c>
      <c r="T11" s="2">
        <v>2299.3000000000002</v>
      </c>
    </row>
    <row r="12" spans="1:23" s="2" customFormat="1" x14ac:dyDescent="0.2">
      <c r="B12" s="2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R12" s="2">
        <v>2335</v>
      </c>
      <c r="S12" s="2">
        <v>2349.6999999999998</v>
      </c>
      <c r="T12" s="2">
        <v>2474.6</v>
      </c>
    </row>
    <row r="13" spans="1:23" s="2" customFormat="1" x14ac:dyDescent="0.2">
      <c r="B13" s="2" t="s">
        <v>40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R13" s="2">
        <v>260.39999999999998</v>
      </c>
      <c r="S13" s="2">
        <v>244.8</v>
      </c>
      <c r="T13" s="2">
        <v>232.5</v>
      </c>
    </row>
    <row r="14" spans="1:23" s="2" customFormat="1" x14ac:dyDescent="0.2">
      <c r="B14" s="2" t="s">
        <v>23</v>
      </c>
      <c r="C14" s="6"/>
      <c r="D14" s="6"/>
      <c r="E14" s="6">
        <f>1779.6+589+57.4</f>
        <v>2426</v>
      </c>
      <c r="F14" s="6"/>
      <c r="G14" s="6">
        <f>1923+598+63</f>
        <v>2584</v>
      </c>
      <c r="H14" s="6">
        <f>2091+618+57</f>
        <v>2766</v>
      </c>
      <c r="I14" s="6">
        <f>2135+625.4+68.1</f>
        <v>2828.5</v>
      </c>
      <c r="J14" s="6">
        <f>+T14-I14-H14-G14</f>
        <v>2752.7000000000007</v>
      </c>
      <c r="K14" s="6">
        <f>2035+627+68</f>
        <v>2730</v>
      </c>
      <c r="L14" s="6">
        <f>2074+629+69</f>
        <v>2772</v>
      </c>
      <c r="M14" s="6"/>
      <c r="N14" s="6"/>
      <c r="R14" s="2">
        <f>SUM(R9:R13)</f>
        <v>10642.699999999999</v>
      </c>
      <c r="S14" s="2">
        <f>SUM(S9:S13)</f>
        <v>9975.4</v>
      </c>
      <c r="T14" s="2">
        <f>SUM(T9:T13)</f>
        <v>10931.2</v>
      </c>
    </row>
    <row r="15" spans="1:23" s="2" customFormat="1" x14ac:dyDescent="0.2">
      <c r="B15" s="2" t="s">
        <v>24</v>
      </c>
      <c r="C15" s="6"/>
      <c r="D15" s="6"/>
      <c r="E15" s="6">
        <f>+E8-E14</f>
        <v>3446.1000000000004</v>
      </c>
      <c r="F15" s="6"/>
      <c r="G15" s="6">
        <f t="shared" ref="G15:L15" si="1">+G8-G14</f>
        <v>3314</v>
      </c>
      <c r="H15" s="6">
        <f t="shared" si="1"/>
        <v>3731</v>
      </c>
      <c r="I15" s="6">
        <f t="shared" si="1"/>
        <v>3863.6999999999989</v>
      </c>
      <c r="J15" s="6">
        <f t="shared" si="1"/>
        <v>3653.7999999999993</v>
      </c>
      <c r="K15" s="6">
        <f t="shared" si="1"/>
        <v>3439</v>
      </c>
      <c r="L15" s="6">
        <f t="shared" si="1"/>
        <v>3718</v>
      </c>
      <c r="M15" s="6"/>
      <c r="N15" s="6"/>
      <c r="R15" s="2">
        <f>R8-R14</f>
        <v>12580.199999999999</v>
      </c>
      <c r="S15" s="2">
        <f>S8-S14</f>
        <v>13207.199999999999</v>
      </c>
      <c r="T15" s="2">
        <f>T8-T14</f>
        <v>14562.499999999996</v>
      </c>
    </row>
    <row r="16" spans="1:23" s="2" customFormat="1" x14ac:dyDescent="0.2">
      <c r="B16" s="2" t="s">
        <v>25</v>
      </c>
      <c r="C16" s="6"/>
      <c r="D16" s="6"/>
      <c r="E16" s="6">
        <f>93.3+576.4+12.5</f>
        <v>682.19999999999993</v>
      </c>
      <c r="F16" s="6"/>
      <c r="G16" s="6">
        <f>99+553+129</f>
        <v>781</v>
      </c>
      <c r="H16" s="6">
        <f>567+95-36</f>
        <v>626</v>
      </c>
      <c r="I16" s="6">
        <f>96.7+583.5-24.8</f>
        <v>655.40000000000009</v>
      </c>
      <c r="J16" s="6">
        <f>+T16-I16-H16-G16</f>
        <v>853.39999999999964</v>
      </c>
      <c r="K16" s="6">
        <f>622+99-17</f>
        <v>704</v>
      </c>
      <c r="L16" s="6">
        <f>590+101+107</f>
        <v>798</v>
      </c>
      <c r="M16" s="6"/>
      <c r="N16" s="6"/>
      <c r="R16" s="2">
        <f>2377.8+329.7-483.3</f>
        <v>2224.1999999999998</v>
      </c>
      <c r="S16" s="2">
        <f>2492.2+370.4+973.6</f>
        <v>3836.2</v>
      </c>
      <c r="T16" s="2">
        <f>2435.2+381.7+98.9</f>
        <v>2915.7999999999997</v>
      </c>
    </row>
    <row r="17" spans="2:20" x14ac:dyDescent="0.2">
      <c r="B17" s="2" t="s">
        <v>26</v>
      </c>
      <c r="E17" s="6">
        <f>+E15-E16</f>
        <v>2763.9000000000005</v>
      </c>
      <c r="G17" s="6">
        <f t="shared" ref="G17:L17" si="2">+G15-G16</f>
        <v>2533</v>
      </c>
      <c r="H17" s="6">
        <f t="shared" si="2"/>
        <v>3105</v>
      </c>
      <c r="I17" s="6">
        <f t="shared" si="2"/>
        <v>3208.2999999999988</v>
      </c>
      <c r="J17" s="6">
        <f t="shared" si="2"/>
        <v>2800.3999999999996</v>
      </c>
      <c r="K17" s="6">
        <f t="shared" si="2"/>
        <v>2735</v>
      </c>
      <c r="L17" s="6">
        <f t="shared" si="2"/>
        <v>2920</v>
      </c>
      <c r="R17" s="6">
        <f>+R15-R16</f>
        <v>10356</v>
      </c>
      <c r="S17" s="6">
        <f>+S15-S16</f>
        <v>9371</v>
      </c>
      <c r="T17" s="6">
        <f>+T15-T16</f>
        <v>11646.699999999997</v>
      </c>
    </row>
    <row r="18" spans="2:20" s="2" customFormat="1" x14ac:dyDescent="0.2">
      <c r="B18" s="2" t="s">
        <v>31</v>
      </c>
      <c r="C18" s="6"/>
      <c r="D18" s="6"/>
      <c r="E18" s="6">
        <f>306.2-78.5</f>
        <v>227.7</v>
      </c>
      <c r="F18" s="6"/>
      <c r="G18" s="6">
        <f>330-64</f>
        <v>266</v>
      </c>
      <c r="H18" s="6">
        <f>330-43</f>
        <v>287</v>
      </c>
      <c r="I18" s="6">
        <f>340.7-55.9</f>
        <v>284.8</v>
      </c>
      <c r="J18" s="6">
        <f>+T18-I18-H18-G18</f>
        <v>286.70000000000005</v>
      </c>
      <c r="K18" s="6">
        <f>372-45</f>
        <v>327</v>
      </c>
      <c r="L18" s="6">
        <f>373-9</f>
        <v>364</v>
      </c>
      <c r="M18" s="6"/>
      <c r="N18" s="6"/>
      <c r="R18" s="2">
        <f>1185.8+42.3</f>
        <v>1228.0999999999999</v>
      </c>
      <c r="S18" s="2">
        <f>1207+338.6</f>
        <v>1545.6</v>
      </c>
      <c r="T18" s="2">
        <f>1360.8-236.3</f>
        <v>1124.5</v>
      </c>
    </row>
    <row r="19" spans="2:20" x14ac:dyDescent="0.2">
      <c r="B19" s="2" t="s">
        <v>30</v>
      </c>
      <c r="E19" s="6">
        <f>+E17-E18</f>
        <v>2536.2000000000007</v>
      </c>
      <c r="G19" s="6">
        <f t="shared" ref="G19:L19" si="3">+G17-G18</f>
        <v>2267</v>
      </c>
      <c r="H19" s="6">
        <f t="shared" si="3"/>
        <v>2818</v>
      </c>
      <c r="I19" s="6">
        <f t="shared" si="3"/>
        <v>2923.4999999999986</v>
      </c>
      <c r="J19" s="6">
        <f t="shared" si="3"/>
        <v>2513.6999999999998</v>
      </c>
      <c r="K19" s="6">
        <f t="shared" si="3"/>
        <v>2408</v>
      </c>
      <c r="L19" s="6">
        <f t="shared" si="3"/>
        <v>2556</v>
      </c>
      <c r="R19" s="2">
        <f>+R17-R18</f>
        <v>9127.9</v>
      </c>
      <c r="S19" s="2">
        <f>+S17-S18</f>
        <v>7825.4</v>
      </c>
      <c r="T19" s="2">
        <f>+T17-T18</f>
        <v>10522.199999999997</v>
      </c>
    </row>
    <row r="20" spans="2:20" s="2" customFormat="1" x14ac:dyDescent="0.2">
      <c r="B20" s="2" t="s">
        <v>29</v>
      </c>
      <c r="C20" s="6"/>
      <c r="D20" s="6"/>
      <c r="E20" s="6">
        <v>554.6</v>
      </c>
      <c r="F20" s="6"/>
      <c r="G20" s="6">
        <v>465</v>
      </c>
      <c r="H20" s="6">
        <v>506</v>
      </c>
      <c r="I20" s="6">
        <v>606.4</v>
      </c>
      <c r="J20" s="6">
        <f>+T20-I20-H20-G20</f>
        <v>476</v>
      </c>
      <c r="K20" s="6">
        <v>479</v>
      </c>
      <c r="L20" s="6">
        <v>533</v>
      </c>
      <c r="M20" s="6"/>
      <c r="N20" s="6"/>
      <c r="R20" s="2">
        <v>1582.7</v>
      </c>
      <c r="S20" s="2">
        <v>1648</v>
      </c>
      <c r="T20" s="2">
        <v>2053.4</v>
      </c>
    </row>
    <row r="21" spans="2:20" x14ac:dyDescent="0.2">
      <c r="B21" t="s">
        <v>28</v>
      </c>
      <c r="E21" s="6">
        <f>+E19-E20</f>
        <v>1981.6000000000008</v>
      </c>
      <c r="G21" s="6">
        <f t="shared" ref="G21:L21" si="4">+G19-G20</f>
        <v>1802</v>
      </c>
      <c r="H21" s="6">
        <f t="shared" si="4"/>
        <v>2312</v>
      </c>
      <c r="I21" s="6">
        <f t="shared" si="4"/>
        <v>2317.0999999999985</v>
      </c>
      <c r="J21" s="6">
        <f t="shared" si="4"/>
        <v>2037.6999999999998</v>
      </c>
      <c r="K21" s="6">
        <f t="shared" si="4"/>
        <v>1929</v>
      </c>
      <c r="L21" s="6">
        <f t="shared" si="4"/>
        <v>2023</v>
      </c>
      <c r="R21" s="2">
        <f>+R19-R20</f>
        <v>7545.2</v>
      </c>
      <c r="S21" s="2">
        <f>+S19-S20</f>
        <v>6177.4</v>
      </c>
      <c r="T21" s="2">
        <f>+T19-T20</f>
        <v>8468.7999999999975</v>
      </c>
    </row>
    <row r="22" spans="2:20" x14ac:dyDescent="0.2">
      <c r="B22" t="s">
        <v>27</v>
      </c>
      <c r="E22" s="10">
        <f>+E21/E23</f>
        <v>2.6796484110885745</v>
      </c>
      <c r="G22" s="10">
        <f t="shared" ref="G22:L22" si="5">+G21/G23</f>
        <v>2.4500339904826647</v>
      </c>
      <c r="H22" s="10">
        <f t="shared" si="5"/>
        <v>3.148576875936266</v>
      </c>
      <c r="I22" s="10">
        <f t="shared" si="5"/>
        <v>3.1671678512848529</v>
      </c>
      <c r="J22" s="10">
        <f t="shared" si="5"/>
        <v>2.7826027584323363</v>
      </c>
      <c r="K22" s="10">
        <f t="shared" si="5"/>
        <v>2.657390825182532</v>
      </c>
      <c r="L22" s="10">
        <f t="shared" si="5"/>
        <v>2.8019390581717452</v>
      </c>
      <c r="R22" s="1">
        <f>+R21/R23</f>
        <v>10.036179835062518</v>
      </c>
      <c r="S22" s="1">
        <f>+S21/S23</f>
        <v>8.3331984351814388</v>
      </c>
      <c r="T22" s="1">
        <f>+T21/T23</f>
        <v>11.564659292639625</v>
      </c>
    </row>
    <row r="23" spans="2:20" x14ac:dyDescent="0.2">
      <c r="B23" t="s">
        <v>1</v>
      </c>
      <c r="E23" s="6">
        <v>739.5</v>
      </c>
      <c r="G23" s="6">
        <v>735.5</v>
      </c>
      <c r="H23" s="6">
        <v>734.3</v>
      </c>
      <c r="I23" s="6">
        <v>731.6</v>
      </c>
      <c r="J23" s="6">
        <f>+T23</f>
        <v>732.3</v>
      </c>
      <c r="K23" s="6">
        <v>725.9</v>
      </c>
      <c r="L23" s="6">
        <v>722</v>
      </c>
      <c r="R23" s="2">
        <v>751.8</v>
      </c>
      <c r="S23" s="2">
        <v>741.3</v>
      </c>
      <c r="T23" s="2">
        <v>732.3</v>
      </c>
    </row>
    <row r="25" spans="2:20" s="4" customFormat="1" x14ac:dyDescent="0.2">
      <c r="B25" s="4" t="s">
        <v>32</v>
      </c>
      <c r="C25" s="5"/>
      <c r="D25" s="5"/>
      <c r="E25" s="5"/>
      <c r="F25" s="5"/>
      <c r="G25" s="5"/>
      <c r="H25" s="5"/>
      <c r="I25" s="11">
        <f>+I8/E8-1</f>
        <v>0.1396604281262237</v>
      </c>
      <c r="J25" s="11"/>
      <c r="K25" s="11">
        <f>+K8/G8-1</f>
        <v>4.594777890810442E-2</v>
      </c>
      <c r="L25" s="11">
        <f>+L8/H8-1</f>
        <v>-1.0774203478528532E-3</v>
      </c>
      <c r="M25" s="5"/>
      <c r="N25" s="5"/>
      <c r="S25" s="12">
        <f>+S8/R8-1</f>
        <v>-1.7353560494166587E-3</v>
      </c>
      <c r="T25" s="12">
        <f>+T8/S8-1</f>
        <v>9.969114767109799E-2</v>
      </c>
    </row>
    <row r="28" spans="2:20" x14ac:dyDescent="0.2">
      <c r="L28" s="9"/>
    </row>
    <row r="29" spans="2:20" x14ac:dyDescent="0.2">
      <c r="L29" s="9"/>
    </row>
    <row r="31" spans="2:20" x14ac:dyDescent="0.2">
      <c r="B31" t="s">
        <v>35</v>
      </c>
      <c r="E31" s="6">
        <v>2433.9</v>
      </c>
      <c r="G31" s="3">
        <v>2420</v>
      </c>
      <c r="H31" s="3">
        <v>1673</v>
      </c>
      <c r="I31" s="6">
        <v>3029</v>
      </c>
      <c r="J31" s="6">
        <f>+T31-I31-H31-G31</f>
        <v>2489.8999999999996</v>
      </c>
      <c r="K31" s="3">
        <v>2390</v>
      </c>
      <c r="L31" s="6">
        <v>1689</v>
      </c>
      <c r="R31" s="2">
        <v>9141.5</v>
      </c>
      <c r="S31" s="2">
        <v>7386.7</v>
      </c>
      <c r="T31" s="2">
        <v>9611.9</v>
      </c>
    </row>
    <row r="32" spans="2:20" x14ac:dyDescent="0.2">
      <c r="B32" t="s">
        <v>33</v>
      </c>
      <c r="E32" s="6">
        <v>531.20000000000005</v>
      </c>
      <c r="G32" s="3">
        <v>503</v>
      </c>
      <c r="H32" s="3">
        <v>526</v>
      </c>
      <c r="I32" s="6">
        <v>570.29999999999995</v>
      </c>
      <c r="J32" s="6">
        <f>+T32-I32-H32-G32</f>
        <v>758.10000000000014</v>
      </c>
      <c r="K32" s="3">
        <v>547</v>
      </c>
      <c r="L32" s="6">
        <v>628</v>
      </c>
      <c r="R32" s="2">
        <v>2040</v>
      </c>
      <c r="S32" s="2">
        <v>1899.2</v>
      </c>
      <c r="T32" s="2">
        <v>2357.4</v>
      </c>
    </row>
    <row r="33" spans="2:20" x14ac:dyDescent="0.2">
      <c r="B33" t="s">
        <v>34</v>
      </c>
      <c r="E33" s="6">
        <f>+E31-E32</f>
        <v>1902.7</v>
      </c>
      <c r="G33" s="3">
        <f t="shared" ref="G33:L33" si="6">+G31-G32</f>
        <v>1917</v>
      </c>
      <c r="H33" s="3">
        <f t="shared" si="6"/>
        <v>1147</v>
      </c>
      <c r="I33" s="6">
        <f t="shared" si="6"/>
        <v>2458.6999999999998</v>
      </c>
      <c r="J33" s="6">
        <f t="shared" si="6"/>
        <v>1731.7999999999995</v>
      </c>
      <c r="K33" s="3">
        <f t="shared" si="6"/>
        <v>1843</v>
      </c>
      <c r="L33" s="6">
        <f t="shared" si="6"/>
        <v>1061</v>
      </c>
      <c r="R33" s="2">
        <f>+R31-R32</f>
        <v>7101.5</v>
      </c>
      <c r="S33" s="2">
        <f>+S31-S32</f>
        <v>5487.5</v>
      </c>
      <c r="T33" s="2">
        <f>+T31-T32</f>
        <v>7254.5</v>
      </c>
    </row>
    <row r="34" spans="2:20" x14ac:dyDescent="0.2">
      <c r="B34" t="s">
        <v>41</v>
      </c>
      <c r="J34" s="6">
        <f>SUM(G33:J33)</f>
        <v>7254.4999999999991</v>
      </c>
      <c r="K34" s="6">
        <f>SUM(H33:K33)</f>
        <v>7180.4999999999991</v>
      </c>
      <c r="L34" s="6">
        <f>SUM(I33:L33)</f>
        <v>7094.4999999999991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2024-10-23T13:07:36Z</dcterms:created>
  <dcterms:modified xsi:type="dcterms:W3CDTF">2025-10-14T13:13:18Z</dcterms:modified>
</cp:coreProperties>
</file>