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ACFBDA48-AEB5-4633-B2C4-744A93E26C2A}" xr6:coauthVersionLast="47" xr6:coauthVersionMax="47" xr10:uidLastSave="{00000000-0000-0000-0000-000000000000}"/>
  <bookViews>
    <workbookView xWindow="8220" yWindow="4230" windowWidth="18075" windowHeight="16020" activeTab="1" xr2:uid="{9A102858-C73E-5D48-A2CD-E1A82206316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" l="1"/>
  <c r="K14" i="2"/>
  <c r="D16" i="2"/>
  <c r="E16" i="2"/>
  <c r="E18" i="2" s="1"/>
  <c r="F16" i="2"/>
  <c r="F18" i="2" s="1"/>
  <c r="G16" i="2"/>
  <c r="H16" i="2"/>
  <c r="W16" i="2" s="1"/>
  <c r="I16" i="2"/>
  <c r="I18" i="2" s="1"/>
  <c r="J16" i="2"/>
  <c r="N31" i="2" s="1"/>
  <c r="K16" i="2"/>
  <c r="K5" i="2" s="1"/>
  <c r="L16" i="2"/>
  <c r="M16" i="2"/>
  <c r="M18" i="2" s="1"/>
  <c r="O16" i="2"/>
  <c r="P16" i="2"/>
  <c r="P18" i="2" s="1"/>
  <c r="Q16" i="2"/>
  <c r="Q18" i="2" s="1"/>
  <c r="L17" i="2"/>
  <c r="M17" i="2"/>
  <c r="U17" i="2"/>
  <c r="V17" i="2"/>
  <c r="W17" i="2"/>
  <c r="C18" i="2"/>
  <c r="D18" i="2"/>
  <c r="D23" i="2" s="1"/>
  <c r="D25" i="2" s="1"/>
  <c r="D27" i="2" s="1"/>
  <c r="D28" i="2" s="1"/>
  <c r="G18" i="2"/>
  <c r="G23" i="2" s="1"/>
  <c r="G25" i="2" s="1"/>
  <c r="G27" i="2" s="1"/>
  <c r="G28" i="2" s="1"/>
  <c r="H18" i="2"/>
  <c r="H23" i="2" s="1"/>
  <c r="H25" i="2" s="1"/>
  <c r="H27" i="2" s="1"/>
  <c r="H28" i="2" s="1"/>
  <c r="L18" i="2"/>
  <c r="N18" i="2"/>
  <c r="N32" i="2" s="1"/>
  <c r="O18" i="2"/>
  <c r="O17" i="2" s="1"/>
  <c r="U18" i="2"/>
  <c r="U32" i="2" s="1"/>
  <c r="V18" i="2"/>
  <c r="V23" i="2" s="1"/>
  <c r="V25" i="2" s="1"/>
  <c r="V27" i="2" s="1"/>
  <c r="N19" i="2"/>
  <c r="O19" i="2"/>
  <c r="Y19" i="2" s="1"/>
  <c r="P19" i="2"/>
  <c r="P22" i="2" s="1"/>
  <c r="Q19" i="2"/>
  <c r="Q22" i="2" s="1"/>
  <c r="R19" i="2"/>
  <c r="W19" i="2"/>
  <c r="W22" i="2" s="1"/>
  <c r="X19" i="2"/>
  <c r="N20" i="2"/>
  <c r="N22" i="2" s="1"/>
  <c r="O20" i="2"/>
  <c r="P20" i="2"/>
  <c r="Q20" i="2"/>
  <c r="Y20" i="2" s="1"/>
  <c r="Z20" i="2" s="1"/>
  <c r="AA20" i="2" s="1"/>
  <c r="R20" i="2"/>
  <c r="W20" i="2"/>
  <c r="N21" i="2"/>
  <c r="R21" i="2" s="1"/>
  <c r="O21" i="2"/>
  <c r="O22" i="2" s="1"/>
  <c r="P21" i="2"/>
  <c r="Q21" i="2"/>
  <c r="W21" i="2"/>
  <c r="X21" i="2"/>
  <c r="C22" i="2"/>
  <c r="D22" i="2"/>
  <c r="E22" i="2"/>
  <c r="F22" i="2"/>
  <c r="G22" i="2"/>
  <c r="H22" i="2"/>
  <c r="I22" i="2"/>
  <c r="J22" i="2"/>
  <c r="K22" i="2"/>
  <c r="L22" i="2"/>
  <c r="M22" i="2"/>
  <c r="U22" i="2"/>
  <c r="V22" i="2"/>
  <c r="C23" i="2"/>
  <c r="C25" i="2" s="1"/>
  <c r="C27" i="2" s="1"/>
  <c r="L23" i="2"/>
  <c r="U23" i="2"/>
  <c r="U25" i="2" s="1"/>
  <c r="U27" i="2" s="1"/>
  <c r="E24" i="2"/>
  <c r="G24" i="2"/>
  <c r="W24" i="2" s="1"/>
  <c r="I24" i="2"/>
  <c r="K24" i="2"/>
  <c r="X24" i="2" s="1"/>
  <c r="N24" i="2"/>
  <c r="O24" i="2"/>
  <c r="U24" i="2"/>
  <c r="V24" i="2"/>
  <c r="L25" i="2"/>
  <c r="L27" i="2" s="1"/>
  <c r="W26" i="2"/>
  <c r="X26" i="2"/>
  <c r="Y26" i="2"/>
  <c r="N29" i="2"/>
  <c r="O29" i="2"/>
  <c r="P29" i="2" s="1"/>
  <c r="W29" i="2"/>
  <c r="X29" i="2"/>
  <c r="H31" i="2"/>
  <c r="L31" i="2"/>
  <c r="V31" i="2"/>
  <c r="G32" i="2"/>
  <c r="H32" i="2"/>
  <c r="L32" i="2"/>
  <c r="J35" i="2"/>
  <c r="K35" i="2"/>
  <c r="L35" i="2"/>
  <c r="L44" i="2" s="1"/>
  <c r="M35" i="2"/>
  <c r="M34" i="2" s="1"/>
  <c r="J41" i="2"/>
  <c r="J44" i="2" s="1"/>
  <c r="K41" i="2"/>
  <c r="K44" i="2" s="1"/>
  <c r="L41" i="2"/>
  <c r="M41" i="2"/>
  <c r="J48" i="2"/>
  <c r="J55" i="2" s="1"/>
  <c r="K48" i="2"/>
  <c r="K55" i="2" s="1"/>
  <c r="L48" i="2"/>
  <c r="M48" i="2"/>
  <c r="M55" i="2" s="1"/>
  <c r="J50" i="2"/>
  <c r="K50" i="2"/>
  <c r="L50" i="2"/>
  <c r="M50" i="2"/>
  <c r="J51" i="2"/>
  <c r="L55" i="2"/>
  <c r="L58" i="2"/>
  <c r="L65" i="2" s="1"/>
  <c r="L85" i="2" s="1"/>
  <c r="L59" i="2"/>
  <c r="L60" i="2"/>
  <c r="K61" i="2"/>
  <c r="L61" i="2"/>
  <c r="M61" i="2"/>
  <c r="M65" i="2" s="1"/>
  <c r="M85" i="2" s="1"/>
  <c r="U61" i="2"/>
  <c r="U65" i="2" s="1"/>
  <c r="U85" i="2" s="1"/>
  <c r="V61" i="2"/>
  <c r="W61" i="2"/>
  <c r="L62" i="2"/>
  <c r="K63" i="2"/>
  <c r="L63" i="2"/>
  <c r="M63" i="2"/>
  <c r="U63" i="2"/>
  <c r="V63" i="2"/>
  <c r="W63" i="2"/>
  <c r="K64" i="2"/>
  <c r="L64" i="2"/>
  <c r="M64" i="2"/>
  <c r="U64" i="2"/>
  <c r="V64" i="2"/>
  <c r="V65" i="2" s="1"/>
  <c r="V85" i="2" s="1"/>
  <c r="W64" i="2"/>
  <c r="W65" i="2" s="1"/>
  <c r="W85" i="2" s="1"/>
  <c r="K65" i="2"/>
  <c r="K77" i="2" s="1"/>
  <c r="X65" i="2"/>
  <c r="L67" i="2"/>
  <c r="K69" i="2"/>
  <c r="L69" i="2" s="1"/>
  <c r="L70" i="2" s="1"/>
  <c r="M69" i="2"/>
  <c r="U69" i="2"/>
  <c r="U70" i="2" s="1"/>
  <c r="V69" i="2"/>
  <c r="W69" i="2"/>
  <c r="K70" i="2"/>
  <c r="M70" i="2"/>
  <c r="V70" i="2"/>
  <c r="W70" i="2"/>
  <c r="L72" i="2"/>
  <c r="L75" i="2" s="1"/>
  <c r="L73" i="2"/>
  <c r="L74" i="2"/>
  <c r="K75" i="2"/>
  <c r="M75" i="2"/>
  <c r="L76" i="2"/>
  <c r="L77" i="2" s="1"/>
  <c r="K80" i="2"/>
  <c r="W2" i="2"/>
  <c r="Q2" i="2"/>
  <c r="P2" i="2"/>
  <c r="O2" i="2"/>
  <c r="N2" i="2"/>
  <c r="X2" i="2" s="1"/>
  <c r="J4" i="1"/>
  <c r="J7" i="1" s="1"/>
  <c r="Q32" i="2" l="1"/>
  <c r="Q23" i="2"/>
  <c r="Q29" i="2"/>
  <c r="R29" i="2" s="1"/>
  <c r="M32" i="2"/>
  <c r="M23" i="2"/>
  <c r="M25" i="2" s="1"/>
  <c r="M27" i="2" s="1"/>
  <c r="L28" i="2"/>
  <c r="L57" i="2"/>
  <c r="U28" i="2"/>
  <c r="U57" i="2"/>
  <c r="I32" i="2"/>
  <c r="I23" i="2"/>
  <c r="I25" i="2" s="1"/>
  <c r="I27" i="2" s="1"/>
  <c r="I28" i="2" s="1"/>
  <c r="W18" i="2"/>
  <c r="W31" i="2"/>
  <c r="Z19" i="2"/>
  <c r="Y22" i="2"/>
  <c r="V28" i="2"/>
  <c r="V57" i="2"/>
  <c r="M77" i="2"/>
  <c r="F23" i="2"/>
  <c r="F25" i="2" s="1"/>
  <c r="F27" i="2" s="1"/>
  <c r="F28" i="2" s="1"/>
  <c r="F32" i="2"/>
  <c r="E23" i="2"/>
  <c r="E25" i="2" s="1"/>
  <c r="E27" i="2" s="1"/>
  <c r="E28" i="2" s="1"/>
  <c r="E32" i="2"/>
  <c r="Y24" i="2"/>
  <c r="Z24" i="2" s="1"/>
  <c r="AA24" i="2" s="1"/>
  <c r="P17" i="2"/>
  <c r="P32" i="2"/>
  <c r="P23" i="2"/>
  <c r="P25" i="2" s="1"/>
  <c r="P27" i="2" s="1"/>
  <c r="P28" i="2" s="1"/>
  <c r="R22" i="2"/>
  <c r="R16" i="2"/>
  <c r="M31" i="2"/>
  <c r="M44" i="2"/>
  <c r="K31" i="2"/>
  <c r="J31" i="2"/>
  <c r="P24" i="2"/>
  <c r="Q24" i="2" s="1"/>
  <c r="R24" i="2" s="1"/>
  <c r="V32" i="2"/>
  <c r="D32" i="2"/>
  <c r="I31" i="2"/>
  <c r="O23" i="2"/>
  <c r="O25" i="2" s="1"/>
  <c r="O27" i="2" s="1"/>
  <c r="O28" i="2" s="1"/>
  <c r="K18" i="2"/>
  <c r="N23" i="2"/>
  <c r="N25" i="2" s="1"/>
  <c r="N27" i="2" s="1"/>
  <c r="N28" i="2" s="1"/>
  <c r="X20" i="2"/>
  <c r="X22" i="2" s="1"/>
  <c r="J18" i="2"/>
  <c r="Q17" i="2"/>
  <c r="N17" i="2"/>
  <c r="X17" i="2" s="1"/>
  <c r="O32" i="2"/>
  <c r="K85" i="2"/>
  <c r="Y21" i="2"/>
  <c r="Z21" i="2" s="1"/>
  <c r="AA21" i="2" s="1"/>
  <c r="Q31" i="2"/>
  <c r="P31" i="2"/>
  <c r="O31" i="2"/>
  <c r="X16" i="2"/>
  <c r="R2" i="2"/>
  <c r="Y2" i="2" s="1"/>
  <c r="Y17" i="2" l="1"/>
  <c r="K32" i="2"/>
  <c r="K23" i="2"/>
  <c r="K25" i="2" s="1"/>
  <c r="K27" i="2" s="1"/>
  <c r="R31" i="2"/>
  <c r="R18" i="2"/>
  <c r="R17" i="2"/>
  <c r="M28" i="2"/>
  <c r="M57" i="2"/>
  <c r="Y29" i="2"/>
  <c r="Z29" i="2" s="1"/>
  <c r="AA29" i="2" s="1"/>
  <c r="J32" i="2"/>
  <c r="J23" i="2"/>
  <c r="J25" i="2" s="1"/>
  <c r="J27" i="2" s="1"/>
  <c r="J28" i="2" s="1"/>
  <c r="Y16" i="2"/>
  <c r="W23" i="2"/>
  <c r="W25" i="2" s="1"/>
  <c r="W27" i="2" s="1"/>
  <c r="W32" i="2"/>
  <c r="Q25" i="2"/>
  <c r="Q27" i="2" s="1"/>
  <c r="Q28" i="2" s="1"/>
  <c r="X18" i="2"/>
  <c r="X31" i="2"/>
  <c r="AA19" i="2"/>
  <c r="AA22" i="2" s="1"/>
  <c r="Z22" i="2"/>
  <c r="X23" i="2" l="1"/>
  <c r="X25" i="2" s="1"/>
  <c r="X27" i="2" s="1"/>
  <c r="X32" i="2"/>
  <c r="W57" i="2"/>
  <c r="W28" i="2"/>
  <c r="Y31" i="2"/>
  <c r="Z16" i="2"/>
  <c r="Y18" i="2"/>
  <c r="R32" i="2"/>
  <c r="R23" i="2"/>
  <c r="R25" i="2" s="1"/>
  <c r="R27" i="2" s="1"/>
  <c r="R28" i="2" s="1"/>
  <c r="K28" i="2"/>
  <c r="K57" i="2"/>
  <c r="Z31" i="2" l="1"/>
  <c r="Z18" i="2"/>
  <c r="Z17" i="2" s="1"/>
  <c r="AA16" i="2"/>
  <c r="Y23" i="2"/>
  <c r="Y25" i="2" s="1"/>
  <c r="Y27" i="2" s="1"/>
  <c r="Y32" i="2"/>
  <c r="X57" i="2"/>
  <c r="X28" i="2"/>
  <c r="Y57" i="2" l="1"/>
  <c r="Y28" i="2"/>
  <c r="AA18" i="2"/>
  <c r="AA31" i="2"/>
  <c r="Z23" i="2"/>
  <c r="Z25" i="2" s="1"/>
  <c r="Z32" i="2"/>
  <c r="Z26" i="2" l="1"/>
  <c r="Z27" i="2"/>
  <c r="Z28" i="2" s="1"/>
  <c r="AA32" i="2"/>
  <c r="AA23" i="2"/>
  <c r="AA25" i="2" s="1"/>
  <c r="AA17" i="2"/>
  <c r="AA26" i="2" l="1"/>
  <c r="AA27" i="2"/>
  <c r="AA28" i="2" s="1"/>
</calcChain>
</file>

<file path=xl/sharedStrings.xml><?xml version="1.0" encoding="utf-8"?>
<sst xmlns="http://schemas.openxmlformats.org/spreadsheetml/2006/main" count="117" uniqueCount="107">
  <si>
    <t>Price</t>
  </si>
  <si>
    <t>Shares</t>
  </si>
  <si>
    <t>MC</t>
  </si>
  <si>
    <t>Cash</t>
  </si>
  <si>
    <t>Debt</t>
  </si>
  <si>
    <t>EV</t>
  </si>
  <si>
    <t>Main</t>
  </si>
  <si>
    <t>Revenue</t>
  </si>
  <si>
    <t>Net Income</t>
  </si>
  <si>
    <t>AR</t>
  </si>
  <si>
    <t>Deferred Commissions</t>
  </si>
  <si>
    <t>Prepaids</t>
  </si>
  <si>
    <t>PP&amp;E</t>
  </si>
  <si>
    <t>Leases</t>
  </si>
  <si>
    <t>Goodwill</t>
  </si>
  <si>
    <t>DTA</t>
  </si>
  <si>
    <t>Other</t>
  </si>
  <si>
    <t>Assets</t>
  </si>
  <si>
    <t>AP</t>
  </si>
  <si>
    <t>Compensation</t>
  </si>
  <si>
    <t>Lease</t>
  </si>
  <si>
    <t>OAL</t>
  </si>
  <si>
    <t>DR</t>
  </si>
  <si>
    <t>DTL</t>
  </si>
  <si>
    <t>OL</t>
  </si>
  <si>
    <t>SE</t>
  </si>
  <si>
    <t>L+SE</t>
  </si>
  <si>
    <t>Subscription</t>
  </si>
  <si>
    <t>Services</t>
  </si>
  <si>
    <t>Revenue Growth</t>
  </si>
  <si>
    <t>COGS</t>
  </si>
  <si>
    <t>Gross Profit</t>
  </si>
  <si>
    <t>S&amp;M</t>
  </si>
  <si>
    <t>R&amp;D</t>
  </si>
  <si>
    <t>G&amp;A</t>
  </si>
  <si>
    <t>Operating Expenses</t>
  </si>
  <si>
    <t>Operating Income</t>
  </si>
  <si>
    <t>Interest Income</t>
  </si>
  <si>
    <t>Pretax Income</t>
  </si>
  <si>
    <t>Taxes</t>
  </si>
  <si>
    <t>EPS</t>
  </si>
  <si>
    <t>NoSQL</t>
  </si>
  <si>
    <t>SQL</t>
  </si>
  <si>
    <t>Oracle, MySQL, MariaDB, Cockroach (1B valuation in 2021, $128m revenue)</t>
  </si>
  <si>
    <t>CFFO</t>
  </si>
  <si>
    <t>SBC</t>
  </si>
  <si>
    <t>D&amp;A</t>
  </si>
  <si>
    <t>Amortization</t>
  </si>
  <si>
    <t>Model NI (non-GAAP)</t>
  </si>
  <si>
    <t>Reported NI (GAAP)</t>
  </si>
  <si>
    <t>WC</t>
  </si>
  <si>
    <t>FX</t>
  </si>
  <si>
    <t>DT</t>
  </si>
  <si>
    <t>FX+Financial</t>
  </si>
  <si>
    <t>CapEx</t>
  </si>
  <si>
    <t>Investments</t>
  </si>
  <si>
    <t>CFFI</t>
  </si>
  <si>
    <t>ESOP</t>
  </si>
  <si>
    <t>CFFF</t>
  </si>
  <si>
    <t>2013 n/c MongoDB</t>
  </si>
  <si>
    <t>Q125</t>
  </si>
  <si>
    <t>Q424</t>
  </si>
  <si>
    <t>Americas</t>
  </si>
  <si>
    <t>EMEA</t>
  </si>
  <si>
    <t>AsiaPac</t>
  </si>
  <si>
    <t>Atlas</t>
  </si>
  <si>
    <t>Headcount</t>
  </si>
  <si>
    <t>June 2016: introduces Atlas</t>
  </si>
  <si>
    <t>Enterprise Advanced</t>
  </si>
  <si>
    <t>Questions - what's the difference between Atlas &amp; Enterprise Advanced</t>
  </si>
  <si>
    <t>Customers</t>
  </si>
  <si>
    <t>Average Customer</t>
  </si>
  <si>
    <t>Q225</t>
  </si>
  <si>
    <t>Q124</t>
  </si>
  <si>
    <t>Q224</t>
  </si>
  <si>
    <t>Q123</t>
  </si>
  <si>
    <t>Q223</t>
  </si>
  <si>
    <t>Q323</t>
  </si>
  <si>
    <t>Q423</t>
  </si>
  <si>
    <t>Q324</t>
  </si>
  <si>
    <t>Q325</t>
  </si>
  <si>
    <t>Q425</t>
  </si>
  <si>
    <t>&gt;100k</t>
  </si>
  <si>
    <t>FY25</t>
  </si>
  <si>
    <t>Q126</t>
  </si>
  <si>
    <t>Q226</t>
  </si>
  <si>
    <t>Q326</t>
  </si>
  <si>
    <t>Q426</t>
  </si>
  <si>
    <t>Gross Margin</t>
  </si>
  <si>
    <t>FY26</t>
  </si>
  <si>
    <t>Capped Calls</t>
  </si>
  <si>
    <t>CIC</t>
  </si>
  <si>
    <t>FCF</t>
  </si>
  <si>
    <t>FY24</t>
  </si>
  <si>
    <t>FY23</t>
  </si>
  <si>
    <t>FY22</t>
  </si>
  <si>
    <t>Acquisitions</t>
  </si>
  <si>
    <t>Net Cash</t>
  </si>
  <si>
    <t>HQ: NYC</t>
  </si>
  <si>
    <t>Founded: 2007 as 10Gen</t>
  </si>
  <si>
    <t>CEO: Dev Ittycheria</t>
  </si>
  <si>
    <t>MongoDB Atlas – cloud-hosted version (core revenue driver, &gt;60% of total).</t>
  </si>
  <si>
    <t>MongoDB Enterprise Advanced – on-prem or hybrid deployment.</t>
  </si>
  <si>
    <t>MongoDB Community Edition – open-source version used widely by developers.</t>
  </si>
  <si>
    <t>Core growth driven by Atlas cloud adoption across AWS, Azure, and Google Cloud.</t>
  </si>
  <si>
    <t>Competes with Oracle, Microsoft, AWS (DocumentDB), and Snowflake, but differentiates via developer-friendly architecture.</t>
  </si>
  <si>
    <t>Expanding into AI &amp; vector search use cases to handle unstructured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</si>
</sst>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yyyy/mm/dd;@"/>
  </numFmts>
  <fonts count="7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ptos Narrow"/>
      <family val="2"/>
      <scheme val="minor"/>
    </font>
    <font>
      <u/>
      <sz val="12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14" fontId="3" fillId="0" borderId="0" xfId="0" applyNumberFormat="1" applyFont="1"/>
    <xf numFmtId="3" fontId="3" fillId="0" borderId="0" xfId="0" applyNumberFormat="1" applyFont="1"/>
    <xf numFmtId="3" fontId="4" fillId="0" borderId="0" xfId="0" applyNumberFormat="1" applyFont="1"/>
    <xf numFmtId="9" fontId="3" fillId="0" borderId="0" xfId="0" applyNumberFormat="1" applyFont="1"/>
    <xf numFmtId="4" fontId="3" fillId="0" borderId="0" xfId="0" applyNumberFormat="1" applyFont="1"/>
    <xf numFmtId="0" fontId="6" fillId="0" borderId="0" xfId="1" applyFont="1"/>
    <xf numFmtId="14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9" fontId="3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1" fillId="0" borderId="0" xfId="0" applyFont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F8C2CEE-F319-4659-9EB3-D38B9B88E2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41965</xdr:colOff>
      <xdr:row>0</xdr:row>
      <xdr:rowOff>0</xdr:rowOff>
    </xdr:from>
    <xdr:to>
      <xdr:col>13</xdr:col>
      <xdr:colOff>41965</xdr:colOff>
      <xdr:row>92</xdr:row>
      <xdr:rowOff>177800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223DE4-5BF9-6B6A-025A-0E78E1930F03}"/>
            </a:ext>
          </a:extLst>
        </xdr:cNvPr>
        <xdr:cNvCxnSpPr/>
      </xdr:nvCxnSpPr>
      <xdr:spPr>
        <a:xfrm>
          <a:off x="10754415" y="0"/>
          <a:ext cx="0" cy="17894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28989</xdr:colOff>
      <xdr:row>0</xdr:row>
      <xdr:rowOff>0</xdr:rowOff>
    </xdr:from>
    <xdr:to>
      <xdr:col>24</xdr:col>
      <xdr:colOff>28989</xdr:colOff>
      <xdr:row>96</xdr:row>
      <xdr:rowOff>88900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F4694C-C02E-4B72-BEF6-C56EAC4ECC74}"/>
            </a:ext>
          </a:extLst>
        </xdr:cNvPr>
        <xdr:cNvCxnSpPr/>
      </xdr:nvCxnSpPr>
      <xdr:spPr>
        <a:xfrm>
          <a:off x="17726439" y="0"/>
          <a:ext cx="0" cy="18592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4C51-D0DF-104C-A19C-F0B422EB0491}">
  <dimension ref="B2:L28"/>
  <sheetViews>
    <sheetView zoomScaleNormal="100" workbookViewId="0">
      <selection activeCell="K7" sqref="K7"/>
    </sheetView>
  </sheetViews>
  <sheetFormatPr defaultColWidth="11" defaultRowHeight="12.75" x14ac:dyDescent="0.2"/>
  <cols>
    <col min="1" max="16384" width="11" style="12"/>
  </cols>
  <sheetData>
    <row r="2" spans="2:12" x14ac:dyDescent="0.2">
      <c r="B2" s="12" t="s">
        <v>41</v>
      </c>
      <c r="I2" s="12" t="s">
        <v>0</v>
      </c>
      <c r="J2" s="13">
        <v>320</v>
      </c>
    </row>
    <row r="3" spans="2:12" x14ac:dyDescent="0.2">
      <c r="B3" s="12" t="s">
        <v>42</v>
      </c>
      <c r="C3" s="12" t="s">
        <v>43</v>
      </c>
      <c r="I3" s="12" t="s">
        <v>1</v>
      </c>
      <c r="J3" s="14">
        <v>74</v>
      </c>
      <c r="K3" s="16" t="s">
        <v>79</v>
      </c>
    </row>
    <row r="4" spans="2:12" x14ac:dyDescent="0.2">
      <c r="I4" s="12" t="s">
        <v>2</v>
      </c>
      <c r="J4" s="14">
        <f>+J2*J3</f>
        <v>23680</v>
      </c>
    </row>
    <row r="5" spans="2:12" x14ac:dyDescent="0.2">
      <c r="B5" s="12" t="s">
        <v>65</v>
      </c>
      <c r="I5" s="12" t="s">
        <v>3</v>
      </c>
      <c r="J5" s="14">
        <v>2302</v>
      </c>
      <c r="K5" s="16" t="s">
        <v>79</v>
      </c>
    </row>
    <row r="6" spans="2:12" x14ac:dyDescent="0.2">
      <c r="B6" s="12" t="s">
        <v>68</v>
      </c>
      <c r="I6" s="12" t="s">
        <v>4</v>
      </c>
      <c r="J6" s="14">
        <v>1125</v>
      </c>
      <c r="K6" s="16" t="s">
        <v>79</v>
      </c>
    </row>
    <row r="7" spans="2:12" x14ac:dyDescent="0.2">
      <c r="I7" s="12" t="s">
        <v>5</v>
      </c>
      <c r="J7" s="14">
        <f>+J4-J5+J6</f>
        <v>22503</v>
      </c>
    </row>
    <row r="8" spans="2:12" x14ac:dyDescent="0.2">
      <c r="B8" s="12" t="s">
        <v>67</v>
      </c>
      <c r="L8" s="13"/>
    </row>
    <row r="10" spans="2:12" x14ac:dyDescent="0.2">
      <c r="B10" s="17" t="s">
        <v>69</v>
      </c>
      <c r="I10" s="17" t="s">
        <v>99</v>
      </c>
    </row>
    <row r="11" spans="2:12" x14ac:dyDescent="0.2">
      <c r="B11" s="17"/>
      <c r="I11" s="12" t="s">
        <v>59</v>
      </c>
    </row>
    <row r="12" spans="2:12" x14ac:dyDescent="0.2">
      <c r="B12" s="17" t="s">
        <v>101</v>
      </c>
      <c r="I12" s="17" t="s">
        <v>98</v>
      </c>
    </row>
    <row r="13" spans="2:12" x14ac:dyDescent="0.2">
      <c r="B13" s="17" t="s">
        <v>102</v>
      </c>
      <c r="I13" s="17" t="s">
        <v>100</v>
      </c>
    </row>
    <row r="14" spans="2:12" x14ac:dyDescent="0.2">
      <c r="B14" s="17" t="s">
        <v>103</v>
      </c>
    </row>
    <row r="15" spans="2:12" x14ac:dyDescent="0.2">
      <c r="B15" s="17"/>
      <c r="C15" s="17"/>
      <c r="D15" s="17"/>
      <c r="E15" s="17"/>
      <c r="F15" s="17"/>
      <c r="G15" s="17"/>
      <c r="H15" s="17"/>
      <c r="I15" s="17"/>
      <c r="J15" s="17"/>
    </row>
    <row r="16" spans="2:12" x14ac:dyDescent="0.2">
      <c r="B16" s="17" t="s">
        <v>104</v>
      </c>
      <c r="C16" s="17"/>
      <c r="D16" s="17"/>
      <c r="E16" s="17"/>
      <c r="F16" s="17"/>
      <c r="G16" s="17"/>
      <c r="H16" s="17"/>
      <c r="I16" s="17"/>
      <c r="J16" s="17"/>
    </row>
    <row r="17" spans="2:10" x14ac:dyDescent="0.2">
      <c r="B17" s="17" t="s">
        <v>105</v>
      </c>
      <c r="C17" s="17"/>
      <c r="D17" s="17"/>
      <c r="E17" s="17"/>
      <c r="F17" s="17"/>
      <c r="G17" s="17"/>
      <c r="H17" s="17"/>
      <c r="I17" s="17"/>
      <c r="J17" s="17"/>
    </row>
    <row r="18" spans="2:10" x14ac:dyDescent="0.2">
      <c r="B18" s="17" t="s">
        <v>106</v>
      </c>
      <c r="C18" s="17"/>
      <c r="D18" s="17"/>
      <c r="E18" s="17"/>
      <c r="F18" s="17"/>
      <c r="G18" s="17"/>
      <c r="H18" s="17"/>
      <c r="I18" s="17"/>
      <c r="J18" s="17"/>
    </row>
    <row r="19" spans="2:10" x14ac:dyDescent="0.2">
      <c r="C19" s="17"/>
      <c r="D19" s="17"/>
      <c r="E19" s="17"/>
      <c r="F19" s="17"/>
      <c r="G19" s="17"/>
      <c r="H19" s="17"/>
      <c r="I19" s="17"/>
      <c r="J19" s="17"/>
    </row>
    <row r="20" spans="2:10" x14ac:dyDescent="0.2">
      <c r="C20" s="17"/>
      <c r="D20" s="17"/>
      <c r="E20" s="17"/>
      <c r="F20" s="17"/>
      <c r="G20" s="17"/>
      <c r="H20" s="17"/>
      <c r="I20" s="17"/>
      <c r="J20" s="17"/>
    </row>
    <row r="21" spans="2:10" x14ac:dyDescent="0.2">
      <c r="C21" s="17"/>
      <c r="D21" s="17"/>
      <c r="E21" s="17"/>
      <c r="F21" s="17"/>
      <c r="G21" s="17"/>
      <c r="H21" s="17"/>
      <c r="I21" s="17"/>
      <c r="J21" s="17"/>
    </row>
    <row r="22" spans="2:10" x14ac:dyDescent="0.2">
      <c r="C22" s="17"/>
      <c r="D22" s="17"/>
      <c r="E22" s="17"/>
      <c r="F22" s="17"/>
      <c r="G22" s="17"/>
      <c r="H22" s="17"/>
      <c r="I22" s="17"/>
      <c r="J22" s="17"/>
    </row>
    <row r="23" spans="2:10" x14ac:dyDescent="0.2">
      <c r="C23" s="17"/>
      <c r="D23" s="17"/>
      <c r="E23" s="17"/>
      <c r="F23" s="17"/>
      <c r="G23" s="17"/>
      <c r="H23" s="17"/>
      <c r="I23" s="17"/>
      <c r="J23" s="17"/>
    </row>
    <row r="24" spans="2:10" x14ac:dyDescent="0.2">
      <c r="C24" s="17"/>
      <c r="D24" s="17"/>
      <c r="E24" s="17"/>
      <c r="F24" s="17"/>
      <c r="G24" s="17"/>
      <c r="H24" s="17"/>
      <c r="I24" s="17"/>
      <c r="J24" s="17"/>
    </row>
    <row r="26" spans="2:10" ht="15.75" x14ac:dyDescent="0.25">
      <c r="B26"/>
    </row>
    <row r="28" spans="2:10" ht="15.75" x14ac:dyDescent="0.25">
      <c r="B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1C2F-51E4-5443-871E-C009B6E86FD1}">
  <dimension ref="A1:AA85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35" sqref="M35"/>
    </sheetView>
  </sheetViews>
  <sheetFormatPr defaultColWidth="10.875" defaultRowHeight="15" x14ac:dyDescent="0.2"/>
  <cols>
    <col min="1" max="1" width="5.625" style="1" bestFit="1" customWidth="1"/>
    <col min="2" max="2" width="22.875" style="1" customWidth="1"/>
    <col min="3" max="12" width="11.875" style="1" bestFit="1" customWidth="1"/>
    <col min="13" max="18" width="11.875" style="10" bestFit="1" customWidth="1"/>
    <col min="19" max="20" width="10.875" style="1"/>
    <col min="21" max="23" width="11.875" style="1" bestFit="1" customWidth="1"/>
    <col min="24" max="25" width="11.875" style="10" bestFit="1" customWidth="1"/>
    <col min="26" max="16384" width="10.875" style="1"/>
  </cols>
  <sheetData>
    <row r="1" spans="1:27" x14ac:dyDescent="0.2">
      <c r="A1" s="7" t="s">
        <v>6</v>
      </c>
    </row>
    <row r="2" spans="1:27" s="18" customFormat="1" x14ac:dyDescent="0.2">
      <c r="C2" s="18">
        <v>44681</v>
      </c>
      <c r="D2" s="18">
        <v>44773</v>
      </c>
      <c r="E2" s="18">
        <v>44865</v>
      </c>
      <c r="F2" s="18">
        <v>44957</v>
      </c>
      <c r="G2" s="18">
        <v>45046</v>
      </c>
      <c r="H2" s="18">
        <v>45138</v>
      </c>
      <c r="I2" s="18">
        <v>45230</v>
      </c>
      <c r="J2" s="18">
        <v>45322</v>
      </c>
      <c r="K2" s="18">
        <v>45412</v>
      </c>
      <c r="L2" s="18">
        <v>45504</v>
      </c>
      <c r="M2" s="19">
        <v>45596</v>
      </c>
      <c r="N2" s="19">
        <f>+J2+366</f>
        <v>45688</v>
      </c>
      <c r="O2" s="19">
        <f>+K2+365</f>
        <v>45777</v>
      </c>
      <c r="P2" s="19">
        <f>+L2+365</f>
        <v>45869</v>
      </c>
      <c r="Q2" s="19">
        <f>+M2+365</f>
        <v>45961</v>
      </c>
      <c r="R2" s="19">
        <f>+N2+365</f>
        <v>46053</v>
      </c>
      <c r="U2" s="18">
        <v>44592</v>
      </c>
      <c r="V2" s="18">
        <v>44957</v>
      </c>
      <c r="W2" s="18">
        <f>+J2</f>
        <v>45322</v>
      </c>
      <c r="X2" s="19">
        <f>+N2</f>
        <v>45688</v>
      </c>
      <c r="Y2" s="19">
        <f>++R2</f>
        <v>46053</v>
      </c>
    </row>
    <row r="3" spans="1:27" x14ac:dyDescent="0.2">
      <c r="C3" s="8" t="s">
        <v>75</v>
      </c>
      <c r="D3" s="8" t="s">
        <v>76</v>
      </c>
      <c r="E3" s="8" t="s">
        <v>77</v>
      </c>
      <c r="F3" s="8" t="s">
        <v>78</v>
      </c>
      <c r="G3" s="8" t="s">
        <v>73</v>
      </c>
      <c r="H3" s="8" t="s">
        <v>74</v>
      </c>
      <c r="I3" s="8" t="s">
        <v>79</v>
      </c>
      <c r="J3" s="8" t="s">
        <v>61</v>
      </c>
      <c r="K3" s="8" t="s">
        <v>60</v>
      </c>
      <c r="L3" s="10" t="s">
        <v>72</v>
      </c>
      <c r="M3" s="10" t="s">
        <v>80</v>
      </c>
      <c r="N3" s="10" t="s">
        <v>81</v>
      </c>
      <c r="O3" s="10" t="s">
        <v>84</v>
      </c>
      <c r="P3" s="10" t="s">
        <v>85</v>
      </c>
      <c r="Q3" s="10" t="s">
        <v>86</v>
      </c>
      <c r="R3" s="10" t="s">
        <v>87</v>
      </c>
      <c r="U3" s="10" t="s">
        <v>95</v>
      </c>
      <c r="V3" s="10" t="s">
        <v>94</v>
      </c>
      <c r="W3" s="10" t="s">
        <v>93</v>
      </c>
      <c r="X3" s="10" t="s">
        <v>83</v>
      </c>
      <c r="Y3" s="10" t="s">
        <v>89</v>
      </c>
    </row>
    <row r="4" spans="1:27" x14ac:dyDescent="0.2">
      <c r="B4" s="1" t="s">
        <v>70</v>
      </c>
      <c r="C4" s="9">
        <v>35200</v>
      </c>
      <c r="D4" s="9">
        <v>37000</v>
      </c>
      <c r="E4" s="9">
        <v>39100</v>
      </c>
      <c r="F4" s="9">
        <v>40800</v>
      </c>
      <c r="G4" s="9">
        <v>43100</v>
      </c>
      <c r="H4" s="9">
        <v>45000</v>
      </c>
      <c r="I4" s="9">
        <v>46400</v>
      </c>
      <c r="J4" s="9">
        <v>47800</v>
      </c>
      <c r="K4" s="9">
        <v>49200</v>
      </c>
    </row>
    <row r="5" spans="1:27" x14ac:dyDescent="0.2">
      <c r="B5" s="1" t="s">
        <v>71</v>
      </c>
      <c r="C5" s="2"/>
      <c r="D5" s="2"/>
      <c r="E5" s="8"/>
      <c r="F5" s="9"/>
      <c r="G5" s="2"/>
      <c r="H5" s="2"/>
      <c r="I5" s="2"/>
      <c r="J5" s="8"/>
      <c r="K5" s="9">
        <f>+K16*1000000/K4</f>
        <v>9157.743902439026</v>
      </c>
    </row>
    <row r="6" spans="1:27" x14ac:dyDescent="0.2">
      <c r="B6" s="1" t="s">
        <v>82</v>
      </c>
      <c r="C6" s="9">
        <v>1379</v>
      </c>
      <c r="D6" s="9">
        <v>1462</v>
      </c>
      <c r="E6" s="9">
        <v>1545</v>
      </c>
      <c r="F6" s="9">
        <v>1651</v>
      </c>
      <c r="G6" s="9">
        <v>1761</v>
      </c>
      <c r="H6" s="9">
        <v>1855</v>
      </c>
      <c r="I6" s="9">
        <v>1972</v>
      </c>
      <c r="J6" s="9">
        <v>2052</v>
      </c>
      <c r="K6" s="9">
        <v>2137</v>
      </c>
    </row>
    <row r="7" spans="1:27" x14ac:dyDescent="0.2">
      <c r="C7" s="2"/>
      <c r="D7" s="2"/>
      <c r="E7" s="8"/>
      <c r="F7" s="8"/>
      <c r="G7" s="2"/>
      <c r="H7" s="2"/>
      <c r="I7" s="2"/>
      <c r="J7" s="8"/>
      <c r="K7" s="8"/>
    </row>
    <row r="8" spans="1:27" x14ac:dyDescent="0.2">
      <c r="B8" s="1" t="s">
        <v>62</v>
      </c>
      <c r="C8" s="9"/>
      <c r="D8" s="9"/>
      <c r="E8" s="9"/>
      <c r="F8" s="9"/>
      <c r="G8" s="9">
        <v>222.346</v>
      </c>
      <c r="H8" s="9"/>
      <c r="I8" s="9"/>
      <c r="J8" s="9"/>
      <c r="K8" s="9">
        <v>272.09300000000002</v>
      </c>
    </row>
    <row r="9" spans="1:27" x14ac:dyDescent="0.2">
      <c r="B9" s="1" t="s">
        <v>63</v>
      </c>
      <c r="C9" s="9"/>
      <c r="D9" s="9"/>
      <c r="E9" s="9"/>
      <c r="F9" s="9"/>
      <c r="G9" s="9">
        <v>105.123</v>
      </c>
      <c r="H9" s="9"/>
      <c r="I9" s="9"/>
      <c r="J9" s="9"/>
      <c r="K9" s="9">
        <v>123.29600000000001</v>
      </c>
    </row>
    <row r="10" spans="1:27" x14ac:dyDescent="0.2">
      <c r="B10" s="1" t="s">
        <v>64</v>
      </c>
      <c r="C10" s="9"/>
      <c r="D10" s="9"/>
      <c r="E10" s="9"/>
      <c r="F10" s="9"/>
      <c r="G10" s="9">
        <v>40.811</v>
      </c>
      <c r="H10" s="9"/>
      <c r="I10" s="9"/>
      <c r="J10" s="9"/>
      <c r="K10" s="9">
        <v>55.171999999999997</v>
      </c>
    </row>
    <row r="11" spans="1:27" x14ac:dyDescent="0.2">
      <c r="C11" s="9"/>
      <c r="D11" s="9"/>
      <c r="E11" s="9"/>
      <c r="F11" s="9"/>
      <c r="G11" s="9"/>
      <c r="H11" s="9"/>
      <c r="I11" s="9"/>
      <c r="J11" s="9"/>
      <c r="K11" s="9"/>
    </row>
    <row r="12" spans="1:27" x14ac:dyDescent="0.2">
      <c r="B12" s="1" t="s">
        <v>65</v>
      </c>
      <c r="C12" s="9"/>
      <c r="D12" s="9"/>
      <c r="E12" s="9"/>
      <c r="F12" s="9"/>
      <c r="G12" s="9">
        <v>237.756</v>
      </c>
      <c r="H12" s="9"/>
      <c r="I12" s="9"/>
      <c r="J12" s="9"/>
      <c r="K12" s="9">
        <v>313.85500000000002</v>
      </c>
    </row>
    <row r="13" spans="1:27" x14ac:dyDescent="0.2">
      <c r="B13" s="1" t="s">
        <v>16</v>
      </c>
      <c r="C13" s="9"/>
      <c r="D13" s="9"/>
      <c r="E13" s="9"/>
      <c r="F13" s="9"/>
      <c r="G13" s="9">
        <v>116.958</v>
      </c>
      <c r="H13" s="9"/>
      <c r="I13" s="9"/>
      <c r="J13" s="9"/>
      <c r="K13" s="9">
        <v>123.041</v>
      </c>
    </row>
    <row r="14" spans="1:27" s="3" customFormat="1" x14ac:dyDescent="0.2">
      <c r="B14" s="3" t="s">
        <v>27</v>
      </c>
      <c r="D14" s="3">
        <v>291.60700000000003</v>
      </c>
      <c r="E14" s="3">
        <v>320.75599999999997</v>
      </c>
      <c r="F14" s="3">
        <v>348.178</v>
      </c>
      <c r="G14" s="3">
        <f>+G12+G13</f>
        <v>354.714</v>
      </c>
      <c r="H14" s="3">
        <v>409.334</v>
      </c>
      <c r="I14" s="3">
        <v>418.339</v>
      </c>
      <c r="J14" s="3">
        <v>444.93900000000002</v>
      </c>
      <c r="K14" s="3">
        <f>+K12+K13</f>
        <v>436.89600000000002</v>
      </c>
      <c r="L14" s="3">
        <v>463.80500000000001</v>
      </c>
      <c r="M14" s="9">
        <v>512.20500000000004</v>
      </c>
      <c r="N14" s="9"/>
      <c r="O14" s="9"/>
      <c r="P14" s="9"/>
      <c r="Q14" s="9"/>
      <c r="R14" s="9"/>
      <c r="X14" s="9"/>
      <c r="Y14" s="9"/>
    </row>
    <row r="15" spans="1:27" s="3" customFormat="1" x14ac:dyDescent="0.2">
      <c r="B15" s="3" t="s">
        <v>28</v>
      </c>
      <c r="D15" s="3">
        <v>12.865</v>
      </c>
      <c r="E15" s="3">
        <v>12.865</v>
      </c>
      <c r="F15" s="3">
        <v>13.134</v>
      </c>
      <c r="G15" s="3">
        <v>13.566000000000001</v>
      </c>
      <c r="H15" s="3">
        <v>14.457000000000001</v>
      </c>
      <c r="I15" s="3">
        <v>14.599</v>
      </c>
      <c r="J15" s="3">
        <v>13.063000000000001</v>
      </c>
      <c r="K15" s="3">
        <v>13.664999999999999</v>
      </c>
      <c r="L15" s="3">
        <v>14.304</v>
      </c>
      <c r="M15" s="9">
        <v>17.170000000000002</v>
      </c>
      <c r="N15" s="9"/>
      <c r="O15" s="9"/>
      <c r="P15" s="9"/>
      <c r="Q15" s="9"/>
      <c r="R15" s="9"/>
      <c r="X15" s="9"/>
      <c r="Y15" s="9"/>
    </row>
    <row r="16" spans="1:27" s="4" customFormat="1" ht="15.75" x14ac:dyDescent="0.25">
      <c r="B16" s="4" t="s">
        <v>7</v>
      </c>
      <c r="D16" s="4">
        <f t="shared" ref="D16:K16" si="0">+D14+D15</f>
        <v>304.47200000000004</v>
      </c>
      <c r="E16" s="4">
        <f t="shared" si="0"/>
        <v>333.62099999999998</v>
      </c>
      <c r="F16" s="4">
        <f t="shared" si="0"/>
        <v>361.31200000000001</v>
      </c>
      <c r="G16" s="4">
        <f t="shared" si="0"/>
        <v>368.28</v>
      </c>
      <c r="H16" s="4">
        <f t="shared" si="0"/>
        <v>423.791</v>
      </c>
      <c r="I16" s="4">
        <f t="shared" si="0"/>
        <v>432.93799999999999</v>
      </c>
      <c r="J16" s="4">
        <f t="shared" si="0"/>
        <v>458.00200000000001</v>
      </c>
      <c r="K16" s="4">
        <f t="shared" si="0"/>
        <v>450.56100000000004</v>
      </c>
      <c r="L16" s="4">
        <f>+L15+L14</f>
        <v>478.10899999999998</v>
      </c>
      <c r="M16" s="4">
        <f>+M15+M14</f>
        <v>529.375</v>
      </c>
      <c r="N16" s="4">
        <v>518</v>
      </c>
      <c r="O16" s="4">
        <f>+N16+26</f>
        <v>544</v>
      </c>
      <c r="P16" s="4">
        <f>+O16+26</f>
        <v>570</v>
      </c>
      <c r="Q16" s="4">
        <f>+P16+26</f>
        <v>596</v>
      </c>
      <c r="R16" s="4">
        <f>+Q16+26</f>
        <v>622</v>
      </c>
      <c r="U16" s="4">
        <v>873.78200000000004</v>
      </c>
      <c r="V16" s="4">
        <v>1284.04</v>
      </c>
      <c r="W16" s="4">
        <f>SUM(G16:J16)</f>
        <v>1683.011</v>
      </c>
      <c r="X16" s="11">
        <f>SUM(K16:N16)</f>
        <v>1976.0450000000001</v>
      </c>
      <c r="Y16" s="11">
        <f>SUM(O16:R16)</f>
        <v>2332</v>
      </c>
      <c r="Z16" s="4">
        <f>+Y16*1.2</f>
        <v>2798.4</v>
      </c>
      <c r="AA16" s="4">
        <f>+Z16*1.2</f>
        <v>3358.08</v>
      </c>
    </row>
    <row r="17" spans="2:27" s="4" customFormat="1" ht="15.75" x14ac:dyDescent="0.25">
      <c r="B17" s="3" t="s">
        <v>30</v>
      </c>
      <c r="C17" s="3"/>
      <c r="D17" s="3">
        <v>93.652000000000001</v>
      </c>
      <c r="E17" s="3">
        <v>93.652000000000001</v>
      </c>
      <c r="F17" s="3">
        <v>89.16</v>
      </c>
      <c r="G17" s="3">
        <v>97.448999999999998</v>
      </c>
      <c r="H17" s="3">
        <v>105.337</v>
      </c>
      <c r="I17" s="3">
        <v>107.05800000000001</v>
      </c>
      <c r="J17" s="3">
        <v>114.64100000000001</v>
      </c>
      <c r="K17" s="3">
        <v>122.697</v>
      </c>
      <c r="L17" s="3">
        <f>106.816+21.437</f>
        <v>128.25300000000001</v>
      </c>
      <c r="M17" s="9">
        <f>111.15+24.181</f>
        <v>135.33100000000002</v>
      </c>
      <c r="N17" s="9">
        <f t="shared" ref="N17:Q17" si="1">+N16-N18</f>
        <v>134.68</v>
      </c>
      <c r="O17" s="9">
        <f t="shared" si="1"/>
        <v>141.44</v>
      </c>
      <c r="P17" s="9">
        <f t="shared" si="1"/>
        <v>148.19999999999999</v>
      </c>
      <c r="Q17" s="9">
        <f t="shared" si="1"/>
        <v>154.95999999999998</v>
      </c>
      <c r="R17" s="9">
        <f>+R16-R18</f>
        <v>161.72000000000003</v>
      </c>
      <c r="U17" s="3">
        <f>217.901+41.591</f>
        <v>259.49200000000002</v>
      </c>
      <c r="V17" s="3">
        <f>284.583+64.721</f>
        <v>349.30400000000003</v>
      </c>
      <c r="W17" s="3">
        <f>SUM(G17:J17)</f>
        <v>424.48500000000001</v>
      </c>
      <c r="X17" s="9">
        <f>SUM(K17:N17)</f>
        <v>520.96100000000001</v>
      </c>
      <c r="Y17" s="9">
        <f>SUM(O17:R17)</f>
        <v>606.31999999999994</v>
      </c>
      <c r="Z17" s="3">
        <f>+Z16-Z18</f>
        <v>699.59999999999991</v>
      </c>
      <c r="AA17" s="3">
        <f>+AA16-AA18</f>
        <v>839.52</v>
      </c>
    </row>
    <row r="18" spans="2:27" x14ac:dyDescent="0.2">
      <c r="B18" s="1" t="s">
        <v>31</v>
      </c>
      <c r="C18" s="3">
        <f t="shared" ref="C18:I18" si="2">+C16-C17</f>
        <v>0</v>
      </c>
      <c r="D18" s="3">
        <f t="shared" si="2"/>
        <v>210.82000000000005</v>
      </c>
      <c r="E18" s="3">
        <f t="shared" si="2"/>
        <v>239.96899999999999</v>
      </c>
      <c r="F18" s="3">
        <f t="shared" si="2"/>
        <v>272.15200000000004</v>
      </c>
      <c r="G18" s="3">
        <f t="shared" si="2"/>
        <v>270.83099999999996</v>
      </c>
      <c r="H18" s="3">
        <f t="shared" si="2"/>
        <v>318.45400000000001</v>
      </c>
      <c r="I18" s="3">
        <f t="shared" si="2"/>
        <v>325.88</v>
      </c>
      <c r="J18" s="3">
        <f>+J16-J17</f>
        <v>343.36099999999999</v>
      </c>
      <c r="K18" s="3">
        <f>+K16-K17</f>
        <v>327.86400000000003</v>
      </c>
      <c r="L18" s="3">
        <f>+L16-L17</f>
        <v>349.85599999999999</v>
      </c>
      <c r="M18" s="9">
        <f>+M16-M17</f>
        <v>394.04399999999998</v>
      </c>
      <c r="N18" s="9">
        <f>+N16*0.74</f>
        <v>383.32</v>
      </c>
      <c r="O18" s="9">
        <f>+O16*0.74</f>
        <v>402.56</v>
      </c>
      <c r="P18" s="9">
        <f>+P16*0.74</f>
        <v>421.8</v>
      </c>
      <c r="Q18" s="9">
        <f>+Q16*0.74</f>
        <v>441.04</v>
      </c>
      <c r="R18" s="9">
        <f>+R16*0.74</f>
        <v>460.28</v>
      </c>
      <c r="U18" s="3">
        <f>+U16-U17</f>
        <v>614.29</v>
      </c>
      <c r="V18" s="3">
        <f>+V16-V17</f>
        <v>934.73599999999988</v>
      </c>
      <c r="W18" s="3">
        <f>+W16-W17</f>
        <v>1258.5259999999998</v>
      </c>
      <c r="X18" s="9">
        <f>+X16-X17</f>
        <v>1455.0840000000001</v>
      </c>
      <c r="Y18" s="9">
        <f>+Y16-Y17</f>
        <v>1725.68</v>
      </c>
      <c r="Z18" s="3">
        <f>+Z16*0.75</f>
        <v>2098.8000000000002</v>
      </c>
      <c r="AA18" s="3">
        <f>+AA16*0.75</f>
        <v>2518.56</v>
      </c>
    </row>
    <row r="19" spans="2:27" x14ac:dyDescent="0.2">
      <c r="B19" s="1" t="s">
        <v>32</v>
      </c>
      <c r="C19" s="3"/>
      <c r="D19" s="3">
        <v>181.59800000000001</v>
      </c>
      <c r="E19" s="3">
        <v>177.41900000000001</v>
      </c>
      <c r="F19" s="3">
        <v>189.916</v>
      </c>
      <c r="G19" s="3">
        <v>182.733</v>
      </c>
      <c r="H19" s="3">
        <v>195.934</v>
      </c>
      <c r="I19" s="3">
        <v>192.977</v>
      </c>
      <c r="J19" s="3">
        <v>211.11600000000001</v>
      </c>
      <c r="K19" s="3">
        <v>219.44399999999999</v>
      </c>
      <c r="L19" s="3">
        <v>221.53899999999999</v>
      </c>
      <c r="M19" s="9">
        <v>217.95400000000001</v>
      </c>
      <c r="N19" s="9">
        <f>+J19*1.05</f>
        <v>221.67180000000002</v>
      </c>
      <c r="O19" s="9">
        <f t="shared" ref="O19:O21" si="3">+K19*1.05</f>
        <v>230.4162</v>
      </c>
      <c r="P19" s="9">
        <f t="shared" ref="P19:P21" si="4">+L19*1.05</f>
        <v>232.61595</v>
      </c>
      <c r="Q19" s="9">
        <f t="shared" ref="Q19:Q21" si="5">+M19*1.05</f>
        <v>228.85170000000002</v>
      </c>
      <c r="R19" s="9">
        <f t="shared" ref="R19:R21" si="6">+N19*1.05</f>
        <v>232.75539000000003</v>
      </c>
      <c r="U19" s="3">
        <v>471.89</v>
      </c>
      <c r="V19" s="3">
        <v>699.20100000000002</v>
      </c>
      <c r="W19" s="3">
        <f t="shared" ref="W19:W21" si="7">SUM(G19:J19)</f>
        <v>782.76</v>
      </c>
      <c r="X19" s="9">
        <f t="shared" ref="X19:X21" si="8">SUM(K19:N19)</f>
        <v>880.60879999999997</v>
      </c>
      <c r="Y19" s="9">
        <f t="shared" ref="Y19:Y21" si="9">SUM(O19:R19)</f>
        <v>924.63924000000009</v>
      </c>
      <c r="Z19" s="3">
        <f>+Y19*1.05</f>
        <v>970.87120200000015</v>
      </c>
      <c r="AA19" s="3">
        <f>+Z19*1.05</f>
        <v>1019.4147621000002</v>
      </c>
    </row>
    <row r="20" spans="2:27" x14ac:dyDescent="0.2">
      <c r="B20" s="1" t="s">
        <v>33</v>
      </c>
      <c r="C20" s="3"/>
      <c r="D20" s="3">
        <v>108.03700000000001</v>
      </c>
      <c r="E20" s="3">
        <v>106.392</v>
      </c>
      <c r="F20" s="3">
        <v>110.89100000000001</v>
      </c>
      <c r="G20" s="3">
        <v>116.81699999999999</v>
      </c>
      <c r="H20" s="3">
        <v>125.42</v>
      </c>
      <c r="I20" s="3">
        <v>128.15</v>
      </c>
      <c r="J20" s="3">
        <v>145.553</v>
      </c>
      <c r="K20" s="3">
        <v>146.06</v>
      </c>
      <c r="L20" s="3">
        <v>148.96700000000001</v>
      </c>
      <c r="M20" s="9">
        <v>151.41</v>
      </c>
      <c r="N20" s="9">
        <f t="shared" ref="N20:N21" si="10">+J20*1.05</f>
        <v>152.83064999999999</v>
      </c>
      <c r="O20" s="9">
        <f t="shared" si="3"/>
        <v>153.363</v>
      </c>
      <c r="P20" s="9">
        <f t="shared" si="4"/>
        <v>156.41535000000002</v>
      </c>
      <c r="Q20" s="9">
        <f t="shared" si="5"/>
        <v>158.98050000000001</v>
      </c>
      <c r="R20" s="9">
        <f t="shared" si="6"/>
        <v>160.4721825</v>
      </c>
      <c r="U20" s="3">
        <v>308.82</v>
      </c>
      <c r="V20" s="3">
        <v>421.69200000000001</v>
      </c>
      <c r="W20" s="3">
        <f t="shared" si="7"/>
        <v>515.94000000000005</v>
      </c>
      <c r="X20" s="9">
        <f t="shared" si="8"/>
        <v>599.26765</v>
      </c>
      <c r="Y20" s="9">
        <f t="shared" si="9"/>
        <v>629.23103250000008</v>
      </c>
      <c r="Z20" s="3">
        <f t="shared" ref="Z20:AA20" si="11">+Y20*1.05</f>
        <v>660.69258412500017</v>
      </c>
      <c r="AA20" s="3">
        <f t="shared" si="11"/>
        <v>693.72721333125025</v>
      </c>
    </row>
    <row r="21" spans="2:27" x14ac:dyDescent="0.2">
      <c r="B21" s="1" t="s">
        <v>34</v>
      </c>
      <c r="C21" s="3"/>
      <c r="D21" s="3">
        <v>40.591000000000001</v>
      </c>
      <c r="E21" s="3">
        <v>39.081000000000003</v>
      </c>
      <c r="F21" s="3">
        <v>44.293999999999997</v>
      </c>
      <c r="G21" s="3">
        <v>39.828000000000003</v>
      </c>
      <c r="H21" s="3">
        <v>46.103000000000002</v>
      </c>
      <c r="I21" s="3">
        <v>49.969000000000001</v>
      </c>
      <c r="J21" s="3">
        <v>57.658000000000001</v>
      </c>
      <c r="K21" s="3">
        <v>60.545999999999999</v>
      </c>
      <c r="L21" s="3">
        <v>50.79</v>
      </c>
      <c r="M21" s="9">
        <v>52.555999999999997</v>
      </c>
      <c r="N21" s="9">
        <f t="shared" si="10"/>
        <v>60.540900000000001</v>
      </c>
      <c r="O21" s="9">
        <f t="shared" si="3"/>
        <v>63.573300000000003</v>
      </c>
      <c r="P21" s="9">
        <f t="shared" si="4"/>
        <v>53.329500000000003</v>
      </c>
      <c r="Q21" s="9">
        <f t="shared" si="5"/>
        <v>55.183799999999998</v>
      </c>
      <c r="R21" s="9">
        <f t="shared" si="6"/>
        <v>63.567945000000002</v>
      </c>
      <c r="U21" s="3">
        <v>122.944</v>
      </c>
      <c r="V21" s="3">
        <v>160.49799999999999</v>
      </c>
      <c r="W21" s="3">
        <f t="shared" si="7"/>
        <v>193.55799999999999</v>
      </c>
      <c r="X21" s="9">
        <f t="shared" si="8"/>
        <v>224.43289999999999</v>
      </c>
      <c r="Y21" s="9">
        <f t="shared" si="9"/>
        <v>235.65454500000001</v>
      </c>
      <c r="Z21" s="3">
        <f t="shared" ref="Z21:AA21" si="12">+Y21*1.05</f>
        <v>247.43727225000004</v>
      </c>
      <c r="AA21" s="3">
        <f t="shared" si="12"/>
        <v>259.80913586250006</v>
      </c>
    </row>
    <row r="22" spans="2:27" x14ac:dyDescent="0.2">
      <c r="B22" s="1" t="s">
        <v>35</v>
      </c>
      <c r="C22" s="3">
        <f t="shared" ref="C22:N22" si="13">SUM(C19:C21)</f>
        <v>0</v>
      </c>
      <c r="D22" s="3">
        <f t="shared" si="13"/>
        <v>330.226</v>
      </c>
      <c r="E22" s="3">
        <f t="shared" si="13"/>
        <v>322.89200000000005</v>
      </c>
      <c r="F22" s="3">
        <f t="shared" si="13"/>
        <v>345.101</v>
      </c>
      <c r="G22" s="3">
        <f t="shared" si="13"/>
        <v>339.37800000000004</v>
      </c>
      <c r="H22" s="3">
        <f t="shared" si="13"/>
        <v>367.45699999999999</v>
      </c>
      <c r="I22" s="3">
        <f t="shared" si="13"/>
        <v>371.096</v>
      </c>
      <c r="J22" s="3">
        <f t="shared" si="13"/>
        <v>414.327</v>
      </c>
      <c r="K22" s="3">
        <f t="shared" si="13"/>
        <v>426.05</v>
      </c>
      <c r="L22" s="3">
        <f t="shared" si="13"/>
        <v>421.29599999999999</v>
      </c>
      <c r="M22" s="3">
        <f t="shared" si="13"/>
        <v>421.92</v>
      </c>
      <c r="N22" s="3">
        <f t="shared" si="13"/>
        <v>435.04335000000003</v>
      </c>
      <c r="O22" s="3">
        <f t="shared" ref="O22:R22" si="14">SUM(O19:O21)</f>
        <v>447.35250000000002</v>
      </c>
      <c r="P22" s="3">
        <f t="shared" si="14"/>
        <v>442.36079999999998</v>
      </c>
      <c r="Q22" s="3">
        <f t="shared" si="14"/>
        <v>443.01600000000008</v>
      </c>
      <c r="R22" s="3">
        <f t="shared" si="14"/>
        <v>456.79551750000007</v>
      </c>
      <c r="U22" s="3">
        <f t="shared" ref="U22" si="15">SUM(U19:U21)</f>
        <v>903.654</v>
      </c>
      <c r="V22" s="3">
        <f t="shared" ref="V22:W22" si="16">SUM(V19:V21)</f>
        <v>1281.3910000000001</v>
      </c>
      <c r="W22" s="3">
        <f t="shared" si="16"/>
        <v>1492.258</v>
      </c>
      <c r="X22" s="3">
        <f t="shared" ref="X22:Y22" si="17">SUM(X19:X21)</f>
        <v>1704.30935</v>
      </c>
      <c r="Y22" s="3">
        <f t="shared" si="17"/>
        <v>1789.5248175000004</v>
      </c>
      <c r="Z22" s="3">
        <f t="shared" ref="Z22:AA22" si="18">SUM(Z19:Z21)</f>
        <v>1879.0010583750002</v>
      </c>
      <c r="AA22" s="3">
        <f t="shared" si="18"/>
        <v>1972.9511112937507</v>
      </c>
    </row>
    <row r="23" spans="2:27" x14ac:dyDescent="0.2">
      <c r="B23" s="1" t="s">
        <v>36</v>
      </c>
      <c r="C23" s="3">
        <f t="shared" ref="C23:N23" si="19">C18-C22</f>
        <v>0</v>
      </c>
      <c r="D23" s="3">
        <f t="shared" si="19"/>
        <v>-119.40599999999995</v>
      </c>
      <c r="E23" s="3">
        <f t="shared" si="19"/>
        <v>-82.923000000000059</v>
      </c>
      <c r="F23" s="3">
        <f t="shared" si="19"/>
        <v>-72.948999999999955</v>
      </c>
      <c r="G23" s="3">
        <f t="shared" si="19"/>
        <v>-68.547000000000082</v>
      </c>
      <c r="H23" s="3">
        <f t="shared" si="19"/>
        <v>-49.002999999999986</v>
      </c>
      <c r="I23" s="3">
        <f t="shared" si="19"/>
        <v>-45.216000000000008</v>
      </c>
      <c r="J23" s="3">
        <f t="shared" si="19"/>
        <v>-70.966000000000008</v>
      </c>
      <c r="K23" s="3">
        <f t="shared" si="19"/>
        <v>-98.185999999999979</v>
      </c>
      <c r="L23" s="3">
        <f t="shared" si="19"/>
        <v>-71.44</v>
      </c>
      <c r="M23" s="3">
        <f t="shared" si="19"/>
        <v>-27.876000000000033</v>
      </c>
      <c r="N23" s="3">
        <f t="shared" si="19"/>
        <v>-51.723350000000039</v>
      </c>
      <c r="O23" s="3">
        <f t="shared" ref="O23:R23" si="20">O18-O22</f>
        <v>-44.792500000000018</v>
      </c>
      <c r="P23" s="3">
        <f t="shared" si="20"/>
        <v>-20.560799999999972</v>
      </c>
      <c r="Q23" s="3">
        <f t="shared" si="20"/>
        <v>-1.9760000000000559</v>
      </c>
      <c r="R23" s="3">
        <f t="shared" si="20"/>
        <v>3.4844824999998991</v>
      </c>
      <c r="U23" s="3">
        <f t="shared" ref="U23" si="21">U18-U22</f>
        <v>-289.36400000000003</v>
      </c>
      <c r="V23" s="3">
        <f t="shared" ref="V23:W23" si="22">V18-V22</f>
        <v>-346.6550000000002</v>
      </c>
      <c r="W23" s="3">
        <f t="shared" si="22"/>
        <v>-233.7320000000002</v>
      </c>
      <c r="X23" s="3">
        <f t="shared" ref="X23:Y23" si="23">X18-X22</f>
        <v>-249.22534999999993</v>
      </c>
      <c r="Y23" s="3">
        <f t="shared" si="23"/>
        <v>-63.844817500000318</v>
      </c>
      <c r="Z23" s="3">
        <f t="shared" ref="Z23:AA23" si="24">Z18-Z22</f>
        <v>219.798941625</v>
      </c>
      <c r="AA23" s="3">
        <f t="shared" si="24"/>
        <v>545.60888870624922</v>
      </c>
    </row>
    <row r="24" spans="2:27" x14ac:dyDescent="0.2">
      <c r="B24" s="1" t="s">
        <v>37</v>
      </c>
      <c r="C24" s="3"/>
      <c r="D24" s="3">
        <v>-0.97299999999999998</v>
      </c>
      <c r="E24" s="3">
        <f>6.932-2.497-1.318</f>
        <v>3.1170000000000004</v>
      </c>
      <c r="F24" s="3">
        <v>11.465</v>
      </c>
      <c r="G24" s="3">
        <f>18.037-2.393+1.144</f>
        <v>16.787999999999997</v>
      </c>
      <c r="H24" s="3">
        <v>14.994</v>
      </c>
      <c r="I24" s="3">
        <f>20.358-1.964+1.16</f>
        <v>19.554000000000002</v>
      </c>
      <c r="J24" s="3">
        <v>18.88</v>
      </c>
      <c r="K24" s="3">
        <f>23.111-1.897-1.04</f>
        <v>20.174000000000003</v>
      </c>
      <c r="L24" s="3">
        <v>20.808</v>
      </c>
      <c r="M24" s="9">
        <v>20.766999999999999</v>
      </c>
      <c r="N24" s="9">
        <f>+M24</f>
        <v>20.766999999999999</v>
      </c>
      <c r="O24" s="9">
        <f>+N24</f>
        <v>20.766999999999999</v>
      </c>
      <c r="P24" s="9">
        <f>+O24</f>
        <v>20.766999999999999</v>
      </c>
      <c r="Q24" s="9">
        <f>+P24</f>
        <v>20.766999999999999</v>
      </c>
      <c r="R24" s="9">
        <f>+Q24</f>
        <v>20.766999999999999</v>
      </c>
      <c r="U24" s="3">
        <f>0.926-11.316-3.135</f>
        <v>-13.525</v>
      </c>
      <c r="V24" s="3">
        <f>24.948-9.797-1.75</f>
        <v>13.401</v>
      </c>
      <c r="W24" s="3">
        <f t="shared" ref="W24" si="25">SUM(G24:J24)</f>
        <v>70.215999999999994</v>
      </c>
      <c r="X24" s="9">
        <f t="shared" ref="X24" si="26">SUM(K24:N24)</f>
        <v>82.515999999999991</v>
      </c>
      <c r="Y24" s="9">
        <f t="shared" ref="Y24:Y26" si="27">SUM(O24:R24)</f>
        <v>83.067999999999998</v>
      </c>
      <c r="Z24" s="3">
        <f>+Y24</f>
        <v>83.067999999999998</v>
      </c>
      <c r="AA24" s="3">
        <f>+Z24</f>
        <v>83.067999999999998</v>
      </c>
    </row>
    <row r="25" spans="2:27" x14ac:dyDescent="0.2">
      <c r="B25" s="1" t="s">
        <v>38</v>
      </c>
      <c r="C25" s="3">
        <f t="shared" ref="C25:J25" si="28">+C23+C24</f>
        <v>0</v>
      </c>
      <c r="D25" s="3">
        <f t="shared" si="28"/>
        <v>-120.37899999999995</v>
      </c>
      <c r="E25" s="3">
        <f t="shared" si="28"/>
        <v>-79.806000000000054</v>
      </c>
      <c r="F25" s="3">
        <f t="shared" si="28"/>
        <v>-61.483999999999952</v>
      </c>
      <c r="G25" s="3">
        <f t="shared" si="28"/>
        <v>-51.759000000000086</v>
      </c>
      <c r="H25" s="3">
        <f t="shared" si="28"/>
        <v>-34.008999999999986</v>
      </c>
      <c r="I25" s="3">
        <f t="shared" si="28"/>
        <v>-25.662000000000006</v>
      </c>
      <c r="J25" s="3">
        <f t="shared" si="28"/>
        <v>-52.086000000000013</v>
      </c>
      <c r="K25" s="3">
        <f>+K23+K24</f>
        <v>-78.011999999999972</v>
      </c>
      <c r="L25" s="3">
        <f>+L23+L24</f>
        <v>-50.631999999999998</v>
      </c>
      <c r="M25" s="3">
        <f>+M23+M24</f>
        <v>-7.1090000000000337</v>
      </c>
      <c r="N25" s="3">
        <f>+N23+N24</f>
        <v>-30.95635000000004</v>
      </c>
      <c r="O25" s="3">
        <f t="shared" ref="O25:R25" si="29">+O23+O24</f>
        <v>-24.025500000000019</v>
      </c>
      <c r="P25" s="3">
        <f t="shared" si="29"/>
        <v>0.20620000000002747</v>
      </c>
      <c r="Q25" s="3">
        <f t="shared" si="29"/>
        <v>18.790999999999944</v>
      </c>
      <c r="R25" s="3">
        <f t="shared" si="29"/>
        <v>24.251482499999899</v>
      </c>
      <c r="U25" s="3">
        <f t="shared" ref="U25:AA25" si="30">+U23+U24</f>
        <v>-302.88900000000001</v>
      </c>
      <c r="V25" s="3">
        <f t="shared" si="30"/>
        <v>-333.25400000000019</v>
      </c>
      <c r="W25" s="3">
        <f t="shared" si="30"/>
        <v>-163.51600000000019</v>
      </c>
      <c r="X25" s="3">
        <f t="shared" si="30"/>
        <v>-166.70934999999994</v>
      </c>
      <c r="Y25" s="3">
        <f t="shared" si="30"/>
        <v>19.22318249999968</v>
      </c>
      <c r="Z25" s="3">
        <f t="shared" si="30"/>
        <v>302.86694162499998</v>
      </c>
      <c r="AA25" s="3">
        <f t="shared" si="30"/>
        <v>628.6768887062492</v>
      </c>
    </row>
    <row r="26" spans="2:27" x14ac:dyDescent="0.2">
      <c r="B26" s="1" t="s">
        <v>39</v>
      </c>
      <c r="C26" s="3"/>
      <c r="D26" s="3">
        <v>3.0489999999999999</v>
      </c>
      <c r="E26" s="3">
        <v>5.0350000000000001</v>
      </c>
      <c r="F26" s="3">
        <v>2.9140000000000001</v>
      </c>
      <c r="G26" s="3">
        <v>2.4870000000000001</v>
      </c>
      <c r="H26" s="3">
        <v>3.5880000000000001</v>
      </c>
      <c r="I26" s="3">
        <v>3.6349999999999998</v>
      </c>
      <c r="J26" s="3">
        <v>3.3740000000000001</v>
      </c>
      <c r="K26" s="3">
        <v>2.581</v>
      </c>
      <c r="L26" s="3">
        <v>3.8969999999999998</v>
      </c>
      <c r="M26" s="9">
        <v>2.6669999999999998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U26" s="3">
        <v>3.9769999999999999</v>
      </c>
      <c r="V26" s="3">
        <v>12.144</v>
      </c>
      <c r="W26" s="3">
        <f t="shared" ref="W26" si="31">SUM(G26:J26)</f>
        <v>13.084000000000001</v>
      </c>
      <c r="X26" s="9">
        <f t="shared" ref="X26" si="32">SUM(K26:N26)</f>
        <v>9.1449999999999996</v>
      </c>
      <c r="Y26" s="9">
        <f t="shared" si="27"/>
        <v>0</v>
      </c>
      <c r="Z26" s="3">
        <f>+Z25*0.1</f>
        <v>30.286694162499998</v>
      </c>
      <c r="AA26" s="3">
        <f>+AA25*0.2</f>
        <v>125.73537774124985</v>
      </c>
    </row>
    <row r="27" spans="2:27" x14ac:dyDescent="0.2">
      <c r="B27" s="1" t="s">
        <v>8</v>
      </c>
      <c r="C27" s="3">
        <f t="shared" ref="C27:J27" si="33">+C25-C26</f>
        <v>0</v>
      </c>
      <c r="D27" s="3">
        <f t="shared" si="33"/>
        <v>-123.42799999999995</v>
      </c>
      <c r="E27" s="3">
        <f t="shared" si="33"/>
        <v>-84.841000000000051</v>
      </c>
      <c r="F27" s="3">
        <f t="shared" si="33"/>
        <v>-64.397999999999954</v>
      </c>
      <c r="G27" s="3">
        <f t="shared" si="33"/>
        <v>-54.246000000000087</v>
      </c>
      <c r="H27" s="3">
        <f t="shared" si="33"/>
        <v>-37.596999999999987</v>
      </c>
      <c r="I27" s="3">
        <f t="shared" si="33"/>
        <v>-29.297000000000004</v>
      </c>
      <c r="J27" s="3">
        <f t="shared" si="33"/>
        <v>-55.460000000000015</v>
      </c>
      <c r="K27" s="3">
        <f>+K25-K26</f>
        <v>-80.592999999999975</v>
      </c>
      <c r="L27" s="3">
        <f>+L25-L26</f>
        <v>-54.528999999999996</v>
      </c>
      <c r="M27" s="3">
        <f>+M25-M26</f>
        <v>-9.7760000000000336</v>
      </c>
      <c r="N27" s="3">
        <f>+N25-N26</f>
        <v>-30.95635000000004</v>
      </c>
      <c r="O27" s="3">
        <f t="shared" ref="O27:R27" si="34">+O25-O26</f>
        <v>-24.025500000000019</v>
      </c>
      <c r="P27" s="3">
        <f t="shared" si="34"/>
        <v>0.20620000000002747</v>
      </c>
      <c r="Q27" s="3">
        <f t="shared" si="34"/>
        <v>18.790999999999944</v>
      </c>
      <c r="R27" s="3">
        <f t="shared" si="34"/>
        <v>24.251482499999899</v>
      </c>
      <c r="U27" s="3">
        <f t="shared" ref="U27:AA27" si="35">+U25-U26</f>
        <v>-306.86599999999999</v>
      </c>
      <c r="V27" s="3">
        <f t="shared" si="35"/>
        <v>-345.3980000000002</v>
      </c>
      <c r="W27" s="3">
        <f t="shared" si="35"/>
        <v>-176.60000000000019</v>
      </c>
      <c r="X27" s="3">
        <f t="shared" si="35"/>
        <v>-175.85434999999995</v>
      </c>
      <c r="Y27" s="3">
        <f t="shared" si="35"/>
        <v>19.22318249999968</v>
      </c>
      <c r="Z27" s="3">
        <f t="shared" si="35"/>
        <v>272.58024746249998</v>
      </c>
      <c r="AA27" s="3">
        <f t="shared" si="35"/>
        <v>502.94151096499934</v>
      </c>
    </row>
    <row r="28" spans="2:27" x14ac:dyDescent="0.2">
      <c r="B28" s="1" t="s">
        <v>40</v>
      </c>
      <c r="C28" s="6"/>
      <c r="D28" s="6">
        <f t="shared" ref="C28:J28" si="36">D27/D29</f>
        <v>-1.8062335280774275</v>
      </c>
      <c r="E28" s="6">
        <f t="shared" si="36"/>
        <v>-1.2310638914773968</v>
      </c>
      <c r="F28" s="6">
        <f t="shared" si="36"/>
        <v>-0.92625357140093434</v>
      </c>
      <c r="G28" s="6">
        <f t="shared" si="36"/>
        <v>-0.77298280464511981</v>
      </c>
      <c r="H28" s="6">
        <f t="shared" si="36"/>
        <v>-0.53047574476307036</v>
      </c>
      <c r="I28" s="6">
        <f t="shared" si="36"/>
        <v>-0.40940456377438567</v>
      </c>
      <c r="J28" s="6">
        <f t="shared" si="36"/>
        <v>-0.76655837267370075</v>
      </c>
      <c r="K28" s="6">
        <f>K27/K29</f>
        <v>-1.1041628211130594</v>
      </c>
      <c r="L28" s="6">
        <f>L27/L29</f>
        <v>-0.74145307370568958</v>
      </c>
      <c r="M28" s="6">
        <f>M27/M29</f>
        <v>-0.13207135479176765</v>
      </c>
      <c r="N28" s="6">
        <f>N27/N29</f>
        <v>-0.41821267224919473</v>
      </c>
      <c r="O28" s="6">
        <f t="shared" ref="O28:R28" si="37">O27/O29</f>
        <v>-0.32457859395965682</v>
      </c>
      <c r="P28" s="6">
        <f t="shared" si="37"/>
        <v>2.7857112682146096E-3</v>
      </c>
      <c r="Q28" s="6">
        <f t="shared" si="37"/>
        <v>0.25386178681383897</v>
      </c>
      <c r="R28" s="6">
        <f t="shared" si="37"/>
        <v>0.32763156193574261</v>
      </c>
      <c r="U28" s="6">
        <f t="shared" ref="U28:AA28" si="38">U27/U29</f>
        <v>-4.7529676115582671</v>
      </c>
      <c r="V28" s="6">
        <f t="shared" si="38"/>
        <v>-5.0328824418661222</v>
      </c>
      <c r="W28" s="6">
        <f t="shared" si="38"/>
        <v>-2.478935809701309</v>
      </c>
      <c r="X28" s="6">
        <f t="shared" si="38"/>
        <v>-2.387907960367845</v>
      </c>
      <c r="Y28" s="6">
        <f t="shared" si="38"/>
        <v>0.25970046605813707</v>
      </c>
      <c r="Z28" s="6">
        <f t="shared" si="38"/>
        <v>3.6824920797716381</v>
      </c>
      <c r="AA28" s="6">
        <f t="shared" si="38"/>
        <v>6.7946160734621417</v>
      </c>
    </row>
    <row r="29" spans="2:27" x14ac:dyDescent="0.2">
      <c r="B29" s="1" t="s">
        <v>1</v>
      </c>
      <c r="C29" s="3"/>
      <c r="D29" s="3">
        <v>68.334463999999997</v>
      </c>
      <c r="E29" s="3">
        <v>68.916813000000005</v>
      </c>
      <c r="F29" s="3">
        <v>69.525238000000002</v>
      </c>
      <c r="G29" s="3">
        <v>70.177498999999997</v>
      </c>
      <c r="H29" s="3">
        <v>70.874116999999998</v>
      </c>
      <c r="I29" s="3">
        <v>71.560023000000001</v>
      </c>
      <c r="J29" s="3">
        <v>72.349350000000001</v>
      </c>
      <c r="K29" s="3">
        <v>72.990140999999994</v>
      </c>
      <c r="L29" s="3">
        <v>73.543426999999994</v>
      </c>
      <c r="M29" s="9">
        <v>74.020593000000005</v>
      </c>
      <c r="N29" s="9">
        <f>+M29</f>
        <v>74.020593000000005</v>
      </c>
      <c r="O29" s="9">
        <f>+N29</f>
        <v>74.020593000000005</v>
      </c>
      <c r="P29" s="9">
        <f t="shared" ref="P29:R29" si="39">+O29</f>
        <v>74.020593000000005</v>
      </c>
      <c r="Q29" s="9">
        <f t="shared" si="39"/>
        <v>74.020593000000005</v>
      </c>
      <c r="R29" s="9">
        <f t="shared" si="39"/>
        <v>74.020593000000005</v>
      </c>
      <c r="U29" s="3">
        <v>64.563032000000007</v>
      </c>
      <c r="V29" s="3">
        <v>68.628266999999994</v>
      </c>
      <c r="W29" s="3">
        <f>AVERAGE(G29:J29)</f>
        <v>71.240247249999996</v>
      </c>
      <c r="X29" s="9">
        <f>AVERAGE(K29:N29)</f>
        <v>73.64368850000001</v>
      </c>
      <c r="Y29" s="9">
        <f>AVERAGE(O29:R29)</f>
        <v>74.020593000000005</v>
      </c>
      <c r="Z29" s="3">
        <f>+Y29</f>
        <v>74.020593000000005</v>
      </c>
      <c r="AA29" s="3">
        <f>+Z29</f>
        <v>74.020593000000005</v>
      </c>
    </row>
    <row r="31" spans="2:27" x14ac:dyDescent="0.2">
      <c r="B31" s="1" t="s">
        <v>29</v>
      </c>
      <c r="F31" s="5"/>
      <c r="G31" s="5"/>
      <c r="H31" s="5">
        <f t="shared" ref="H31:R31" si="40">H16/D16-1</f>
        <v>0.39188825245014303</v>
      </c>
      <c r="I31" s="5">
        <f t="shared" si="40"/>
        <v>0.29769409000032976</v>
      </c>
      <c r="J31" s="5">
        <f t="shared" si="40"/>
        <v>0.26760805065981752</v>
      </c>
      <c r="K31" s="5">
        <f t="shared" si="40"/>
        <v>0.22341968067774531</v>
      </c>
      <c r="L31" s="5">
        <f t="shared" si="40"/>
        <v>0.12817166952578041</v>
      </c>
      <c r="M31" s="5">
        <f t="shared" si="40"/>
        <v>0.22275013974287305</v>
      </c>
      <c r="N31" s="5">
        <f t="shared" si="40"/>
        <v>0.13099942795009634</v>
      </c>
      <c r="O31" s="5">
        <f t="shared" si="40"/>
        <v>0.20738368389629813</v>
      </c>
      <c r="P31" s="5">
        <f t="shared" si="40"/>
        <v>0.19219675847976103</v>
      </c>
      <c r="Q31" s="5">
        <f t="shared" si="40"/>
        <v>0.12585596221959849</v>
      </c>
      <c r="R31" s="5">
        <f t="shared" si="40"/>
        <v>0.20077220077220082</v>
      </c>
      <c r="V31" s="15">
        <f t="shared" ref="V31:AA31" si="41">+V16/U16-1</f>
        <v>0.46951985735572488</v>
      </c>
      <c r="W31" s="15">
        <f t="shared" si="41"/>
        <v>0.31071539827419703</v>
      </c>
      <c r="X31" s="15">
        <f t="shared" si="41"/>
        <v>0.17411294400333688</v>
      </c>
      <c r="Y31" s="15">
        <f t="shared" si="41"/>
        <v>0.18013506777426613</v>
      </c>
      <c r="Z31" s="15">
        <f t="shared" si="41"/>
        <v>0.19999999999999996</v>
      </c>
      <c r="AA31" s="15">
        <f t="shared" si="41"/>
        <v>0.19999999999999996</v>
      </c>
    </row>
    <row r="32" spans="2:27" x14ac:dyDescent="0.2">
      <c r="B32" s="1" t="s">
        <v>88</v>
      </c>
      <c r="D32" s="15">
        <f t="shared" ref="D32:F32" si="42">+D18/D16</f>
        <v>0.69241178170734918</v>
      </c>
      <c r="E32" s="15">
        <f t="shared" si="42"/>
        <v>0.71928625596110563</v>
      </c>
      <c r="F32" s="15">
        <f t="shared" si="42"/>
        <v>0.75323266318306625</v>
      </c>
      <c r="G32" s="15">
        <f t="shared" ref="G32:L32" si="43">+G18/G16</f>
        <v>0.73539426523297491</v>
      </c>
      <c r="H32" s="15">
        <f t="shared" si="43"/>
        <v>0.75144115849557924</v>
      </c>
      <c r="I32" s="15">
        <f t="shared" si="43"/>
        <v>0.75271747917715703</v>
      </c>
      <c r="J32" s="15">
        <f t="shared" si="43"/>
        <v>0.74969323278064282</v>
      </c>
      <c r="K32" s="15">
        <f t="shared" si="43"/>
        <v>0.72767949289885281</v>
      </c>
      <c r="L32" s="15">
        <f t="shared" si="43"/>
        <v>0.73174945462227237</v>
      </c>
      <c r="M32" s="15">
        <f t="shared" ref="M32:R32" si="44">+M18/M16</f>
        <v>0.74435702479338839</v>
      </c>
      <c r="N32" s="15">
        <f t="shared" si="44"/>
        <v>0.74</v>
      </c>
      <c r="O32" s="15">
        <f t="shared" si="44"/>
        <v>0.74</v>
      </c>
      <c r="P32" s="15">
        <f t="shared" si="44"/>
        <v>0.74</v>
      </c>
      <c r="Q32" s="15">
        <f t="shared" si="44"/>
        <v>0.74</v>
      </c>
      <c r="R32" s="15">
        <f t="shared" si="44"/>
        <v>0.74</v>
      </c>
      <c r="U32" s="15">
        <f t="shared" ref="U32:AA32" si="45">+U18/U16</f>
        <v>0.703024324144924</v>
      </c>
      <c r="V32" s="15">
        <f t="shared" si="45"/>
        <v>0.7279648609077598</v>
      </c>
      <c r="W32" s="15">
        <f t="shared" si="45"/>
        <v>0.74778239714416594</v>
      </c>
      <c r="X32" s="15">
        <f t="shared" si="45"/>
        <v>0.73636177313775752</v>
      </c>
      <c r="Y32" s="15">
        <f t="shared" si="45"/>
        <v>0.74</v>
      </c>
      <c r="Z32" s="15">
        <f t="shared" si="45"/>
        <v>0.75</v>
      </c>
      <c r="AA32" s="15">
        <f t="shared" si="45"/>
        <v>0.75</v>
      </c>
    </row>
    <row r="34" spans="2:13" x14ac:dyDescent="0.2">
      <c r="B34" s="1" t="s">
        <v>97</v>
      </c>
      <c r="M34" s="9">
        <f>+M35-M52</f>
        <v>1177.3720000000001</v>
      </c>
    </row>
    <row r="35" spans="2:13" x14ac:dyDescent="0.2">
      <c r="B35" s="1" t="s">
        <v>3</v>
      </c>
      <c r="C35" s="3"/>
      <c r="D35" s="3"/>
      <c r="F35" s="3"/>
      <c r="G35" s="3"/>
      <c r="H35" s="3"/>
      <c r="I35" s="3"/>
      <c r="J35" s="3">
        <f>802.959+1212.448</f>
        <v>2015.4070000000002</v>
      </c>
      <c r="K35" s="3">
        <f>815.704+1258.292</f>
        <v>2073.9960000000001</v>
      </c>
      <c r="L35" s="3">
        <f>1290.901+973.933</f>
        <v>2264.8339999999998</v>
      </c>
      <c r="M35" s="9">
        <f>673.054+1629.038</f>
        <v>2302.0920000000001</v>
      </c>
    </row>
    <row r="36" spans="2:13" x14ac:dyDescent="0.2">
      <c r="B36" s="1" t="s">
        <v>9</v>
      </c>
      <c r="C36" s="3"/>
      <c r="D36" s="3"/>
      <c r="F36" s="3"/>
      <c r="G36" s="3"/>
      <c r="H36" s="3"/>
      <c r="I36" s="3"/>
      <c r="J36" s="3">
        <v>325.61</v>
      </c>
      <c r="K36" s="3">
        <v>266.02499999999998</v>
      </c>
      <c r="L36" s="3">
        <v>311.166</v>
      </c>
      <c r="M36" s="9">
        <v>334.62900000000002</v>
      </c>
    </row>
    <row r="37" spans="2:13" x14ac:dyDescent="0.2">
      <c r="B37" s="1" t="s">
        <v>10</v>
      </c>
      <c r="C37" s="3"/>
      <c r="D37" s="3"/>
      <c r="F37" s="3"/>
      <c r="G37" s="3"/>
      <c r="H37" s="3"/>
      <c r="I37" s="3"/>
      <c r="J37" s="3">
        <v>92.512</v>
      </c>
      <c r="K37" s="3">
        <v>93.39</v>
      </c>
      <c r="L37" s="3">
        <v>97.644000000000005</v>
      </c>
      <c r="M37" s="9">
        <v>103.715</v>
      </c>
    </row>
    <row r="38" spans="2:13" x14ac:dyDescent="0.2">
      <c r="B38" s="1" t="s">
        <v>11</v>
      </c>
      <c r="C38" s="3"/>
      <c r="D38" s="3"/>
      <c r="F38" s="3"/>
      <c r="G38" s="3"/>
      <c r="H38" s="3"/>
      <c r="I38" s="3"/>
      <c r="J38" s="3">
        <v>50.106999999999999</v>
      </c>
      <c r="K38" s="3">
        <v>218.91399999999999</v>
      </c>
      <c r="L38" s="3">
        <v>48.402999999999999</v>
      </c>
      <c r="M38" s="9">
        <v>53.826999999999998</v>
      </c>
    </row>
    <row r="39" spans="2:13" x14ac:dyDescent="0.2">
      <c r="B39" s="1" t="s">
        <v>12</v>
      </c>
      <c r="C39" s="3"/>
      <c r="D39" s="3"/>
      <c r="F39" s="3"/>
      <c r="G39" s="3"/>
      <c r="H39" s="3"/>
      <c r="I39" s="3"/>
      <c r="J39" s="3">
        <v>53.042000000000002</v>
      </c>
      <c r="K39" s="3">
        <v>50.213999999999999</v>
      </c>
      <c r="L39" s="3">
        <v>48.389000000000003</v>
      </c>
      <c r="M39" s="9">
        <v>47.344999999999999</v>
      </c>
    </row>
    <row r="40" spans="2:13" x14ac:dyDescent="0.2">
      <c r="B40" s="1" t="s">
        <v>13</v>
      </c>
      <c r="C40" s="3"/>
      <c r="D40" s="3"/>
      <c r="F40" s="3"/>
      <c r="G40" s="3"/>
      <c r="H40" s="3"/>
      <c r="I40" s="3"/>
      <c r="J40" s="3">
        <v>37.365000000000002</v>
      </c>
      <c r="K40" s="3">
        <v>34.807000000000002</v>
      </c>
      <c r="L40" s="3">
        <v>36.872999999999998</v>
      </c>
      <c r="M40" s="9">
        <v>35.859000000000002</v>
      </c>
    </row>
    <row r="41" spans="2:13" x14ac:dyDescent="0.2">
      <c r="B41" s="1" t="s">
        <v>14</v>
      </c>
      <c r="C41" s="3"/>
      <c r="D41" s="3"/>
      <c r="F41" s="3"/>
      <c r="G41" s="3"/>
      <c r="H41" s="3"/>
      <c r="I41" s="3"/>
      <c r="J41" s="3">
        <f>69.679+3.957</f>
        <v>73.635999999999996</v>
      </c>
      <c r="K41" s="3">
        <f>69.679+1.303</f>
        <v>70.981999999999999</v>
      </c>
      <c r="L41" s="3">
        <f>69.679+1.133</f>
        <v>70.811999999999998</v>
      </c>
      <c r="M41" s="9">
        <f>69.679+0.963</f>
        <v>70.641999999999996</v>
      </c>
    </row>
    <row r="42" spans="2:13" x14ac:dyDescent="0.2">
      <c r="B42" s="1" t="s">
        <v>15</v>
      </c>
      <c r="C42" s="3"/>
      <c r="D42" s="3"/>
      <c r="F42" s="3"/>
      <c r="G42" s="3"/>
      <c r="H42" s="3"/>
      <c r="I42" s="3"/>
      <c r="J42" s="3">
        <v>4.1159999999999997</v>
      </c>
      <c r="K42" s="3">
        <v>4.524</v>
      </c>
      <c r="L42" s="3">
        <v>4.7649999999999997</v>
      </c>
      <c r="M42" s="9">
        <v>5.5750000000000002</v>
      </c>
    </row>
    <row r="43" spans="2:13" x14ac:dyDescent="0.2">
      <c r="B43" s="1" t="s">
        <v>16</v>
      </c>
      <c r="C43" s="3"/>
      <c r="D43" s="3"/>
      <c r="F43" s="3"/>
      <c r="G43" s="3"/>
      <c r="H43" s="3"/>
      <c r="I43" s="3"/>
      <c r="J43" s="3">
        <v>217.84700000000001</v>
      </c>
      <c r="K43" s="3">
        <v>221.577</v>
      </c>
      <c r="L43" s="3">
        <v>248.34399999999999</v>
      </c>
      <c r="M43" s="9">
        <v>271.101</v>
      </c>
    </row>
    <row r="44" spans="2:13" x14ac:dyDescent="0.2">
      <c r="B44" s="1" t="s">
        <v>17</v>
      </c>
      <c r="C44" s="3"/>
      <c r="D44" s="3"/>
      <c r="F44" s="3"/>
      <c r="G44" s="3"/>
      <c r="H44" s="3"/>
      <c r="I44" s="3"/>
      <c r="J44" s="3">
        <f>SUM(J35:J43)</f>
        <v>2869.6420000000003</v>
      </c>
      <c r="K44" s="3">
        <f>SUM(K35:K43)</f>
        <v>3034.4289999999992</v>
      </c>
      <c r="L44" s="3">
        <f>SUM(L35:L43)</f>
        <v>3131.23</v>
      </c>
      <c r="M44" s="3">
        <f>SUM(M35:M43)</f>
        <v>3224.7849999999994</v>
      </c>
    </row>
    <row r="45" spans="2:13" x14ac:dyDescent="0.2">
      <c r="L45" s="3"/>
    </row>
    <row r="46" spans="2:13" x14ac:dyDescent="0.2">
      <c r="B46" s="1" t="s">
        <v>18</v>
      </c>
      <c r="C46" s="3"/>
      <c r="D46" s="3"/>
      <c r="F46" s="3"/>
      <c r="G46" s="3"/>
      <c r="H46" s="3"/>
      <c r="I46" s="3"/>
      <c r="J46" s="3">
        <v>9.9049999999999994</v>
      </c>
      <c r="K46" s="3">
        <v>9.3490000000000002</v>
      </c>
      <c r="L46" s="3">
        <v>10.135</v>
      </c>
      <c r="M46" s="9">
        <v>11.444000000000001</v>
      </c>
    </row>
    <row r="47" spans="2:13" x14ac:dyDescent="0.2">
      <c r="B47" s="1" t="s">
        <v>19</v>
      </c>
      <c r="C47" s="3"/>
      <c r="D47" s="3"/>
      <c r="F47" s="3"/>
      <c r="G47" s="3"/>
      <c r="H47" s="3"/>
      <c r="I47" s="3"/>
      <c r="J47" s="3">
        <v>112.57899999999999</v>
      </c>
      <c r="K47" s="3">
        <v>110.23399999999999</v>
      </c>
      <c r="L47" s="3">
        <v>112.063</v>
      </c>
      <c r="M47" s="9">
        <v>120.598</v>
      </c>
    </row>
    <row r="48" spans="2:13" x14ac:dyDescent="0.2">
      <c r="B48" s="1" t="s">
        <v>20</v>
      </c>
      <c r="C48" s="3"/>
      <c r="D48" s="3"/>
      <c r="F48" s="3"/>
      <c r="G48" s="3"/>
      <c r="H48" s="3"/>
      <c r="I48" s="3"/>
      <c r="J48" s="3">
        <f>9.797+30.918</f>
        <v>40.715000000000003</v>
      </c>
      <c r="K48" s="3">
        <f>9.881+28.417</f>
        <v>38.298000000000002</v>
      </c>
      <c r="L48" s="3">
        <f>11.048+28.877</f>
        <v>39.924999999999997</v>
      </c>
      <c r="M48" s="9">
        <f>10.787+27.639</f>
        <v>38.426000000000002</v>
      </c>
    </row>
    <row r="49" spans="2:25" x14ac:dyDescent="0.2">
      <c r="B49" s="1" t="s">
        <v>21</v>
      </c>
      <c r="C49" s="3"/>
      <c r="D49" s="3"/>
      <c r="F49" s="3"/>
      <c r="G49" s="3"/>
      <c r="H49" s="3"/>
      <c r="I49" s="3"/>
      <c r="J49" s="3">
        <v>74.831000000000003</v>
      </c>
      <c r="K49" s="3">
        <v>84.11</v>
      </c>
      <c r="L49" s="3">
        <v>100.795</v>
      </c>
      <c r="M49" s="9">
        <v>86.795000000000002</v>
      </c>
    </row>
    <row r="50" spans="2:25" x14ac:dyDescent="0.2">
      <c r="B50" s="1" t="s">
        <v>22</v>
      </c>
      <c r="C50" s="3"/>
      <c r="D50" s="3"/>
      <c r="F50" s="3"/>
      <c r="G50" s="3"/>
      <c r="H50" s="3"/>
      <c r="I50" s="3"/>
      <c r="J50" s="3">
        <f>357.108+20.296</f>
        <v>377.404</v>
      </c>
      <c r="K50" s="3">
        <f>323.92+16.21</f>
        <v>340.13</v>
      </c>
      <c r="L50" s="3">
        <f>307.114+15.612</f>
        <v>322.726</v>
      </c>
      <c r="M50" s="9">
        <f>286.431+18.481</f>
        <v>304.91199999999998</v>
      </c>
    </row>
    <row r="51" spans="2:25" x14ac:dyDescent="0.2">
      <c r="B51" s="1" t="s">
        <v>23</v>
      </c>
      <c r="C51" s="3"/>
      <c r="D51" s="3"/>
      <c r="F51" s="3"/>
      <c r="G51" s="3"/>
      <c r="H51" s="3"/>
      <c r="I51" s="3"/>
      <c r="J51" s="3">
        <f>0.77+0.285</f>
        <v>1.0549999999999999</v>
      </c>
      <c r="K51" s="3">
        <v>0.77</v>
      </c>
      <c r="L51" s="3">
        <v>1.0609999999999999</v>
      </c>
      <c r="M51" s="9">
        <v>1.03</v>
      </c>
    </row>
    <row r="52" spans="2:25" x14ac:dyDescent="0.2">
      <c r="B52" s="1" t="s">
        <v>4</v>
      </c>
      <c r="C52" s="3"/>
      <c r="D52" s="3"/>
      <c r="F52" s="3"/>
      <c r="G52" s="3"/>
      <c r="H52" s="3"/>
      <c r="I52" s="3"/>
      <c r="J52" s="3">
        <v>1143.2729999999999</v>
      </c>
      <c r="K52" s="3">
        <v>1144.125</v>
      </c>
      <c r="L52" s="3">
        <v>1144.9770000000001</v>
      </c>
      <c r="M52" s="9">
        <v>1124.72</v>
      </c>
    </row>
    <row r="53" spans="2:25" x14ac:dyDescent="0.2">
      <c r="B53" s="1" t="s">
        <v>24</v>
      </c>
      <c r="C53" s="3"/>
      <c r="D53" s="3"/>
      <c r="F53" s="3"/>
      <c r="G53" s="3"/>
      <c r="H53" s="3"/>
      <c r="I53" s="3"/>
      <c r="J53" s="3">
        <v>41.661000000000001</v>
      </c>
      <c r="K53" s="3">
        <v>38.156999999999996</v>
      </c>
      <c r="L53" s="3">
        <v>36.500999999999998</v>
      </c>
      <c r="M53" s="9">
        <v>34.884</v>
      </c>
    </row>
    <row r="54" spans="2:25" x14ac:dyDescent="0.2">
      <c r="B54" s="1" t="s">
        <v>25</v>
      </c>
      <c r="C54" s="3"/>
      <c r="D54" s="3"/>
      <c r="F54" s="3"/>
      <c r="G54" s="3"/>
      <c r="H54" s="3"/>
      <c r="I54" s="3"/>
      <c r="J54" s="3">
        <v>1068.989</v>
      </c>
      <c r="K54" s="3">
        <v>1269.2560000000001</v>
      </c>
      <c r="L54" s="3">
        <v>1363.047</v>
      </c>
      <c r="M54" s="9">
        <v>1501.9760000000001</v>
      </c>
    </row>
    <row r="55" spans="2:25" x14ac:dyDescent="0.2">
      <c r="B55" s="1" t="s">
        <v>26</v>
      </c>
      <c r="C55" s="3"/>
      <c r="D55" s="3"/>
      <c r="F55" s="3"/>
      <c r="G55" s="3"/>
      <c r="H55" s="3"/>
      <c r="I55" s="3"/>
      <c r="J55" s="3">
        <f>SUM(J46:J54)</f>
        <v>2870.4119999999998</v>
      </c>
      <c r="K55" s="3">
        <f>SUM(K46:K54)</f>
        <v>3034.4290000000001</v>
      </c>
      <c r="L55" s="3">
        <f>SUM(L46:L54)</f>
        <v>3131.2300000000005</v>
      </c>
      <c r="M55" s="3">
        <f>SUM(M46:M54)</f>
        <v>3224.7849999999999</v>
      </c>
    </row>
    <row r="56" spans="2:25" x14ac:dyDescent="0.2">
      <c r="L56" s="3"/>
      <c r="M56" s="9"/>
    </row>
    <row r="57" spans="2:25" x14ac:dyDescent="0.2">
      <c r="B57" s="1" t="s">
        <v>48</v>
      </c>
      <c r="F57" s="3"/>
      <c r="K57" s="3">
        <f>K27</f>
        <v>-80.592999999999975</v>
      </c>
      <c r="L57" s="3">
        <f>L27</f>
        <v>-54.528999999999996</v>
      </c>
      <c r="M57" s="3">
        <f>M27</f>
        <v>-9.7760000000000336</v>
      </c>
      <c r="U57" s="9">
        <f t="shared" ref="U57:W57" si="46">+U27</f>
        <v>-306.86599999999999</v>
      </c>
      <c r="V57" s="9">
        <f t="shared" si="46"/>
        <v>-345.3980000000002</v>
      </c>
      <c r="W57" s="9">
        <f t="shared" si="46"/>
        <v>-176.60000000000019</v>
      </c>
      <c r="X57" s="9">
        <f>+X27</f>
        <v>-175.85434999999995</v>
      </c>
      <c r="Y57" s="9">
        <f>+Y27</f>
        <v>19.22318249999968</v>
      </c>
    </row>
    <row r="58" spans="2:25" x14ac:dyDescent="0.2">
      <c r="B58" s="1" t="s">
        <v>49</v>
      </c>
      <c r="F58" s="3"/>
      <c r="K58" s="3">
        <v>-80.593000000000004</v>
      </c>
      <c r="L58" s="3">
        <f>-135.122-K58</f>
        <v>-54.529000000000011</v>
      </c>
      <c r="M58" s="9">
        <v>-9.7759999999999998</v>
      </c>
      <c r="U58" s="3">
        <v>-306.86599999999999</v>
      </c>
      <c r="V58" s="3">
        <v>-345.39800000000002</v>
      </c>
      <c r="W58" s="3">
        <v>-176.6</v>
      </c>
    </row>
    <row r="59" spans="2:25" x14ac:dyDescent="0.2">
      <c r="B59" s="1" t="s">
        <v>46</v>
      </c>
      <c r="F59" s="3"/>
      <c r="K59" s="3">
        <v>4.8259999999999996</v>
      </c>
      <c r="L59" s="3">
        <f>7.175-K59</f>
        <v>2.3490000000000002</v>
      </c>
      <c r="M59" s="9">
        <v>2.4049999999999998</v>
      </c>
      <c r="U59" s="3">
        <v>13.670999999999999</v>
      </c>
      <c r="V59" s="3">
        <v>16.11</v>
      </c>
      <c r="W59" s="3">
        <v>18.939</v>
      </c>
    </row>
    <row r="60" spans="2:25" x14ac:dyDescent="0.2">
      <c r="B60" s="1" t="s">
        <v>45</v>
      </c>
      <c r="F60" s="3"/>
      <c r="K60" s="3">
        <v>120.76300000000001</v>
      </c>
      <c r="L60" s="3">
        <f>243.186-K60</f>
        <v>122.423</v>
      </c>
      <c r="M60" s="9">
        <v>125.712</v>
      </c>
      <c r="U60" s="3">
        <v>251.06899999999999</v>
      </c>
      <c r="V60" s="3">
        <v>381.45400000000001</v>
      </c>
      <c r="W60" s="3">
        <v>456.90699999999998</v>
      </c>
    </row>
    <row r="61" spans="2:25" x14ac:dyDescent="0.2">
      <c r="B61" s="1" t="s">
        <v>47</v>
      </c>
      <c r="F61" s="3"/>
      <c r="K61" s="3">
        <f>0.852+0.993+2.479-7.781</f>
        <v>-3.4569999999999999</v>
      </c>
      <c r="L61" s="3">
        <f>1.704+1.987-K61+5.071</f>
        <v>12.218999999999999</v>
      </c>
      <c r="M61" s="9">
        <f>0.715+0.994+3.229</f>
        <v>4.9380000000000006</v>
      </c>
      <c r="U61" s="3">
        <f>4.005+3.974+6.81</f>
        <v>14.789</v>
      </c>
      <c r="V61" s="3">
        <f>3.375+3.974+9.098</f>
        <v>16.447000000000003</v>
      </c>
      <c r="W61" s="3">
        <f>3.393+3.975+9.211</f>
        <v>16.579000000000001</v>
      </c>
    </row>
    <row r="62" spans="2:25" x14ac:dyDescent="0.2">
      <c r="B62" s="1" t="s">
        <v>52</v>
      </c>
      <c r="F62" s="3"/>
      <c r="K62" s="3">
        <v>7.0000000000000001E-3</v>
      </c>
      <c r="L62" s="3">
        <f>-0.026-K62</f>
        <v>-3.3000000000000002E-2</v>
      </c>
      <c r="M62" s="9">
        <v>-0.82499999999999996</v>
      </c>
      <c r="U62" s="3">
        <v>-2.5790000000000002</v>
      </c>
      <c r="V62" s="3">
        <v>-0.56200000000000006</v>
      </c>
      <c r="W62" s="3">
        <v>-1.5740000000000001</v>
      </c>
    </row>
    <row r="63" spans="2:25" x14ac:dyDescent="0.2">
      <c r="B63" s="1" t="s">
        <v>53</v>
      </c>
      <c r="F63" s="3"/>
      <c r="K63" s="3">
        <f>0.115-0.479</f>
        <v>-0.36399999999999999</v>
      </c>
      <c r="L63" s="3">
        <f>-13.461-0.852+1.204-K63</f>
        <v>-12.744999999999999</v>
      </c>
      <c r="M63" s="9">
        <f>0.788-0.338-5.656</f>
        <v>-5.2059999999999995</v>
      </c>
      <c r="U63" s="3">
        <f>7.54+1.519</f>
        <v>9.0589999999999993</v>
      </c>
      <c r="V63" s="3">
        <f>-5.954-1.857+1.26</f>
        <v>-6.5510000000000002</v>
      </c>
      <c r="W63" s="3">
        <f>-44.556-1.044+1.802</f>
        <v>-43.797999999999995</v>
      </c>
    </row>
    <row r="64" spans="2:25" x14ac:dyDescent="0.2">
      <c r="B64" s="1" t="s">
        <v>50</v>
      </c>
      <c r="F64" s="3"/>
      <c r="K64" s="3">
        <f>59.326+1.233-4.82+0.166-0.547+6.526-2.185-37.431+0.163</f>
        <v>22.431000000000001</v>
      </c>
      <c r="L64" s="3">
        <f>13.299+1.382-19.973-9.309+0.199+29.213-5.368-54.313-3.833-K64</f>
        <v>-71.134</v>
      </c>
      <c r="M64" s="9">
        <f>-24.557-1.964-18.821-8.395+1.37-6.719-3.777-17.039+0.092</f>
        <v>-79.81</v>
      </c>
      <c r="U64" s="3">
        <f>-62.277-19.865-84.742+0.233+1.146+59.248-6.866+137.241+3.719</f>
        <v>27.836999999999982</v>
      </c>
      <c r="V64" s="3">
        <f>-91.45+2.315-49.077-0.099+3.163-16.189-9.692+85.759+0.8</f>
        <v>-74.46999999999997</v>
      </c>
      <c r="W64" s="3">
        <f>-41.639-12.208-41.83-0.211+1.679+39.502-9.878-82.411-1.98</f>
        <v>-148.97599999999997</v>
      </c>
    </row>
    <row r="65" spans="2:24" x14ac:dyDescent="0.2">
      <c r="B65" s="1" t="s">
        <v>44</v>
      </c>
      <c r="F65" s="3"/>
      <c r="K65" s="3">
        <f>SUM(K58:K64)</f>
        <v>63.613</v>
      </c>
      <c r="L65" s="3">
        <f>SUM(L58:L64)</f>
        <v>-1.4500000000000171</v>
      </c>
      <c r="M65" s="3">
        <f>SUM(M58:M64)</f>
        <v>37.438000000000002</v>
      </c>
      <c r="U65" s="3">
        <f>SUM(U58:U64)</f>
        <v>6.9799999999999756</v>
      </c>
      <c r="V65" s="3">
        <f>SUM(V58:V64)</f>
        <v>-12.96999999999997</v>
      </c>
      <c r="W65" s="3">
        <f>SUM(W58:W64)</f>
        <v>121.477</v>
      </c>
      <c r="X65" s="3">
        <f>SUM(X58:X64)</f>
        <v>0</v>
      </c>
    </row>
    <row r="66" spans="2:24" x14ac:dyDescent="0.2">
      <c r="L66" s="3"/>
      <c r="M66" s="9"/>
    </row>
    <row r="67" spans="2:24" x14ac:dyDescent="0.2">
      <c r="B67" s="1" t="s">
        <v>54</v>
      </c>
      <c r="F67" s="3"/>
      <c r="K67" s="3">
        <v>-0.53900000000000003</v>
      </c>
      <c r="L67" s="3">
        <f>-1.59-K67</f>
        <v>-1.0510000000000002</v>
      </c>
      <c r="M67" s="9">
        <v>-1.9810000000000001</v>
      </c>
      <c r="U67" s="3">
        <v>-8.0719999999999992</v>
      </c>
      <c r="V67" s="3">
        <v>-7.2439999999999998</v>
      </c>
      <c r="W67" s="3">
        <v>-8.0719999999999992</v>
      </c>
      <c r="X67" s="9"/>
    </row>
    <row r="68" spans="2:24" x14ac:dyDescent="0.2">
      <c r="B68" s="1" t="s">
        <v>96</v>
      </c>
      <c r="F68" s="3"/>
      <c r="K68" s="3"/>
      <c r="L68" s="3"/>
      <c r="M68" s="9"/>
      <c r="U68" s="3">
        <v>-4.4690000000000003</v>
      </c>
      <c r="V68" s="3">
        <v>0</v>
      </c>
      <c r="W68" s="3">
        <v>-4.4690000000000003</v>
      </c>
      <c r="X68" s="9"/>
    </row>
    <row r="69" spans="2:24" x14ac:dyDescent="0.2">
      <c r="B69" s="1" t="s">
        <v>55</v>
      </c>
      <c r="F69" s="3"/>
      <c r="K69" s="3">
        <f>125-172.604</f>
        <v>-47.604000000000013</v>
      </c>
      <c r="L69" s="3">
        <f>-5.5+435-185.633-K69</f>
        <v>291.471</v>
      </c>
      <c r="M69" s="9">
        <f>-0.25+135-786.17</f>
        <v>-651.41999999999996</v>
      </c>
      <c r="U69" s="3">
        <f>-4.343+550-1385.258</f>
        <v>-839.601</v>
      </c>
      <c r="V69" s="3">
        <f>-3.098+1425-1447.966</f>
        <v>-26.063999999999851</v>
      </c>
      <c r="W69" s="3">
        <f>-4.343+550-1385.258</f>
        <v>-839.601</v>
      </c>
      <c r="X69" s="9"/>
    </row>
    <row r="70" spans="2:24" x14ac:dyDescent="0.2">
      <c r="B70" s="1" t="s">
        <v>56</v>
      </c>
      <c r="F70" s="3"/>
      <c r="K70" s="3">
        <f>SUM(K67:K69)</f>
        <v>-48.143000000000015</v>
      </c>
      <c r="L70" s="3">
        <f>SUM(L67:L69)</f>
        <v>290.42</v>
      </c>
      <c r="M70" s="3">
        <f>SUM(M67:M69)</f>
        <v>-653.40099999999995</v>
      </c>
      <c r="U70" s="3">
        <f>SUM(U67:U69)</f>
        <v>-852.14200000000005</v>
      </c>
      <c r="V70" s="3">
        <f>SUM(V67:V69)</f>
        <v>-33.307999999999851</v>
      </c>
      <c r="W70" s="3">
        <f>SUM(W67:W69)</f>
        <v>-852.14200000000005</v>
      </c>
      <c r="X70" s="9"/>
    </row>
    <row r="71" spans="2:24" x14ac:dyDescent="0.2">
      <c r="F71" s="3"/>
      <c r="K71" s="3"/>
      <c r="L71" s="3"/>
      <c r="M71" s="9"/>
    </row>
    <row r="72" spans="2:24" x14ac:dyDescent="0.2">
      <c r="B72" s="1" t="s">
        <v>57</v>
      </c>
      <c r="F72" s="3"/>
      <c r="K72" s="3">
        <v>0.95299999999999996</v>
      </c>
      <c r="L72" s="3">
        <f>18.64-K72+1.306</f>
        <v>18.993000000000002</v>
      </c>
      <c r="M72" s="9">
        <v>0.315</v>
      </c>
    </row>
    <row r="73" spans="2:24" x14ac:dyDescent="0.2">
      <c r="B73" s="1" t="s">
        <v>90</v>
      </c>
      <c r="F73" s="3"/>
      <c r="K73" s="3">
        <v>0</v>
      </c>
      <c r="L73" s="3">
        <f>170.589-K73</f>
        <v>170.589</v>
      </c>
      <c r="M73" s="9">
        <v>0</v>
      </c>
    </row>
    <row r="74" spans="2:24" x14ac:dyDescent="0.2">
      <c r="B74" s="1" t="s">
        <v>13</v>
      </c>
      <c r="F74" s="3"/>
      <c r="K74" s="3">
        <v>-2.093</v>
      </c>
      <c r="L74" s="3">
        <f>-3.639-K74</f>
        <v>-1.5459999999999998</v>
      </c>
      <c r="M74" s="9">
        <v>-0.89500000000000002</v>
      </c>
    </row>
    <row r="75" spans="2:24" x14ac:dyDescent="0.2">
      <c r="B75" s="1" t="s">
        <v>58</v>
      </c>
      <c r="F75" s="3"/>
      <c r="K75" s="3">
        <f>SUM(K72:K74)</f>
        <v>-1.1400000000000001</v>
      </c>
      <c r="L75" s="3">
        <f>SUM(L72:L74)</f>
        <v>188.036</v>
      </c>
      <c r="M75" s="3">
        <f>SUM(M72:M74)</f>
        <v>-0.58000000000000007</v>
      </c>
    </row>
    <row r="76" spans="2:24" x14ac:dyDescent="0.2">
      <c r="B76" s="1" t="s">
        <v>51</v>
      </c>
      <c r="F76" s="3"/>
      <c r="K76" s="3">
        <v>-1.583</v>
      </c>
      <c r="L76" s="3">
        <f>-2.551-K76</f>
        <v>-0.96800000000000019</v>
      </c>
      <c r="M76" s="9">
        <v>-0.27400000000000002</v>
      </c>
    </row>
    <row r="77" spans="2:24" x14ac:dyDescent="0.2">
      <c r="B77" s="1" t="s">
        <v>91</v>
      </c>
      <c r="F77" s="3"/>
      <c r="K77" s="3">
        <f>K76+K75+K70+K65</f>
        <v>12.746999999999986</v>
      </c>
      <c r="L77" s="3">
        <f>L76+L75+L70+L65</f>
        <v>476.03800000000001</v>
      </c>
      <c r="M77" s="3">
        <f>M76+M75+M70+M65</f>
        <v>-616.81700000000001</v>
      </c>
    </row>
    <row r="78" spans="2:24" x14ac:dyDescent="0.2">
      <c r="F78" s="3"/>
      <c r="K78" s="3"/>
      <c r="L78" s="3"/>
    </row>
    <row r="79" spans="2:24" x14ac:dyDescent="0.2">
      <c r="B79" s="1" t="s">
        <v>66</v>
      </c>
      <c r="C79" s="3"/>
      <c r="D79" s="3"/>
      <c r="E79" s="3"/>
      <c r="F79" s="3"/>
      <c r="G79" s="3">
        <v>4527</v>
      </c>
      <c r="H79" s="3"/>
      <c r="I79" s="3"/>
      <c r="J79" s="3"/>
      <c r="K79" s="3">
        <v>5213</v>
      </c>
      <c r="L79" s="3"/>
    </row>
    <row r="80" spans="2:24" x14ac:dyDescent="0.2">
      <c r="F80" s="5"/>
      <c r="K80" s="5">
        <f>+K79/G79-1</f>
        <v>0.15153523304616745</v>
      </c>
    </row>
    <row r="81" spans="2:23" x14ac:dyDescent="0.2">
      <c r="F81" s="5"/>
      <c r="K81" s="5"/>
    </row>
    <row r="82" spans="2:23" x14ac:dyDescent="0.2">
      <c r="B82" s="1" t="s">
        <v>32</v>
      </c>
      <c r="C82" s="3"/>
      <c r="D82" s="3"/>
      <c r="E82" s="3"/>
      <c r="F82" s="3"/>
      <c r="G82" s="3">
        <v>2157</v>
      </c>
      <c r="H82" s="3"/>
      <c r="I82" s="3"/>
      <c r="J82" s="3"/>
      <c r="K82" s="3">
        <v>2470</v>
      </c>
    </row>
    <row r="85" spans="2:23" x14ac:dyDescent="0.2">
      <c r="B85" s="1" t="s">
        <v>92</v>
      </c>
      <c r="K85" s="3">
        <f>+K65+K67</f>
        <v>63.073999999999998</v>
      </c>
      <c r="L85" s="3">
        <f>+L65+L67</f>
        <v>-2.5010000000000172</v>
      </c>
      <c r="M85" s="3">
        <f>+M65+M67</f>
        <v>35.457000000000001</v>
      </c>
      <c r="U85" s="3">
        <f t="shared" ref="U85:W85" si="47">+U65+U67</f>
        <v>-1.0920000000000236</v>
      </c>
      <c r="V85" s="3">
        <f t="shared" si="47"/>
        <v>-20.21399999999997</v>
      </c>
      <c r="W85" s="3">
        <f t="shared" si="47"/>
        <v>113.405</v>
      </c>
    </row>
  </sheetData>
  <hyperlinks>
    <hyperlink ref="A1" location="Main!A1" display="Main" xr:uid="{C133F01A-E3DB-8640-9562-7A3F4F520D7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2024-06-10T20:01:43Z</dcterms:created>
  <dcterms:modified xsi:type="dcterms:W3CDTF">2025-10-14T13:18:28Z</dcterms:modified>
</cp:coreProperties>
</file>