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B524C1F-F48D-479F-892B-78027DB7802A}" xr6:coauthVersionLast="47" xr6:coauthVersionMax="47" xr10:uidLastSave="{00000000-0000-0000-0000-000000000000}"/>
  <bookViews>
    <workbookView xWindow="780" yWindow="780" windowWidth="18075" windowHeight="16020" activeTab="1" xr2:uid="{CD9C9B3D-DA47-4F78-B4CB-7782A0A847DF}"/>
  </bookViews>
  <sheets>
    <sheet name="Main" sheetId="1" r:id="rId1"/>
    <sheet name="Model" sheetId="2" r:id="rId2"/>
    <sheet name="Rezdiff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2" i="2" l="1"/>
  <c r="AE21" i="2"/>
  <c r="AC15" i="2"/>
  <c r="AB15" i="2"/>
  <c r="AA15" i="2"/>
  <c r="Z15" i="2"/>
  <c r="Y15" i="2"/>
  <c r="X15" i="2"/>
  <c r="W15" i="2"/>
  <c r="W16" i="2"/>
  <c r="X16" i="2" s="1"/>
  <c r="Y16" i="2" s="1"/>
  <c r="Z16" i="2" s="1"/>
  <c r="AA16" i="2" s="1"/>
  <c r="AB16" i="2" s="1"/>
  <c r="AC16" i="2" s="1"/>
  <c r="V16" i="2"/>
  <c r="AC14" i="2"/>
  <c r="AB14" i="2"/>
  <c r="AA14" i="2"/>
  <c r="Z14" i="2"/>
  <c r="Y14" i="2"/>
  <c r="X14" i="2"/>
  <c r="W14" i="2"/>
  <c r="AC12" i="2"/>
  <c r="AC11" i="2"/>
  <c r="AB11" i="2"/>
  <c r="AB12" i="2" s="1"/>
  <c r="AA11" i="2"/>
  <c r="AA12" i="2" s="1"/>
  <c r="Z11" i="2"/>
  <c r="Z12" i="2" s="1"/>
  <c r="Y11" i="2"/>
  <c r="Y12" i="2" s="1"/>
  <c r="X11" i="2"/>
  <c r="X12" i="2" s="1"/>
  <c r="W11" i="2"/>
  <c r="W12" i="2" s="1"/>
  <c r="V11" i="2"/>
  <c r="W10" i="2"/>
  <c r="X10" i="2" s="1"/>
  <c r="Y10" i="2" s="1"/>
  <c r="Z10" i="2" s="1"/>
  <c r="AA10" i="2" s="1"/>
  <c r="AB10" i="2" s="1"/>
  <c r="AC10" i="2" s="1"/>
  <c r="V10" i="2"/>
  <c r="AC7" i="2"/>
  <c r="AC8" i="2" s="1"/>
  <c r="AB7" i="2"/>
  <c r="AB8" i="2" s="1"/>
  <c r="AA7" i="2"/>
  <c r="AA8" i="2" s="1"/>
  <c r="Z7" i="2"/>
  <c r="Z8" i="2" s="1"/>
  <c r="Y7" i="2"/>
  <c r="Y8" i="2" s="1"/>
  <c r="X7" i="2"/>
  <c r="X8" i="2" s="1"/>
  <c r="W7" i="2"/>
  <c r="W8" i="2" s="1"/>
  <c r="V7" i="2"/>
  <c r="V8" i="2" s="1"/>
  <c r="U16" i="2"/>
  <c r="U13" i="2"/>
  <c r="U12" i="2"/>
  <c r="U14" i="2" s="1"/>
  <c r="U15" i="2" s="1"/>
  <c r="O11" i="2"/>
  <c r="O12" i="2"/>
  <c r="U11" i="2"/>
  <c r="U10" i="2"/>
  <c r="U9" i="2"/>
  <c r="U8" i="2"/>
  <c r="U7" i="2"/>
  <c r="V6" i="2"/>
  <c r="M13" i="2"/>
  <c r="M14" i="2" s="1"/>
  <c r="M15" i="2" s="1"/>
  <c r="M12" i="2"/>
  <c r="M11" i="2"/>
  <c r="M8" i="2"/>
  <c r="J13" i="2"/>
  <c r="J11" i="2"/>
  <c r="J8" i="2"/>
  <c r="N13" i="2"/>
  <c r="N11" i="2"/>
  <c r="N8" i="2"/>
  <c r="K13" i="2"/>
  <c r="K11" i="2"/>
  <c r="K8" i="2"/>
  <c r="O15" i="2"/>
  <c r="O14" i="2"/>
  <c r="O13" i="2"/>
  <c r="O8" i="2"/>
  <c r="AC6" i="2"/>
  <c r="AB6" i="2"/>
  <c r="AA6" i="2"/>
  <c r="Z6" i="2"/>
  <c r="Y6" i="2"/>
  <c r="X6" i="2"/>
  <c r="W6" i="2"/>
  <c r="U6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U2" i="2"/>
  <c r="R6" i="2"/>
  <c r="Q6" i="2"/>
  <c r="R4" i="2"/>
  <c r="Q4" i="2"/>
  <c r="P4" i="2"/>
  <c r="O4" i="2"/>
  <c r="R3" i="2"/>
  <c r="Q3" i="2"/>
  <c r="P3" i="2"/>
  <c r="O3" i="2"/>
  <c r="N3" i="2"/>
  <c r="M3" i="2"/>
  <c r="V12" i="2" l="1"/>
  <c r="V14" i="2" s="1"/>
  <c r="J12" i="2"/>
  <c r="J14" i="2" s="1"/>
  <c r="J15" i="2" s="1"/>
  <c r="N12" i="2"/>
  <c r="N14" i="2" s="1"/>
  <c r="N15" i="2" s="1"/>
  <c r="K12" i="2"/>
  <c r="K14" i="2" s="1"/>
  <c r="K15" i="2" s="1"/>
  <c r="H13" i="2"/>
  <c r="H11" i="2"/>
  <c r="H8" i="2"/>
  <c r="L13" i="2"/>
  <c r="L11" i="2"/>
  <c r="L8" i="2"/>
  <c r="M5" i="1"/>
  <c r="M4" i="1"/>
  <c r="M7" i="1" s="1"/>
  <c r="V15" i="2" l="1"/>
  <c r="H12" i="2"/>
  <c r="L12" i="2"/>
  <c r="L14" i="2" s="1"/>
  <c r="L15" i="2" s="1"/>
  <c r="H14" i="2"/>
  <c r="H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W6" authorId="0" shapeId="0" xr:uid="{FD6F909C-DF23-46BB-9BFD-1BAA4148F8CE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Market predict 1.1B
06/05/2025 </t>
        </r>
      </text>
    </comment>
  </commentList>
</comments>
</file>

<file path=xl/sharedStrings.xml><?xml version="1.0" encoding="utf-8"?>
<sst xmlns="http://schemas.openxmlformats.org/spreadsheetml/2006/main" count="75" uniqueCount="68">
  <si>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</si>
  <si>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</si>
  <si>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</si>
  <si>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</si>
  <si>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</si>
  <si>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</si>
  <si>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</si>
  <si>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</si>
  <si>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</si>
  <si>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</si>
  <si>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</si>
  <si>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</si>
  <si>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</si>
  <si>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</si>
  <si>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</si>
  <si>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</si>
  <si>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</si>
  <si>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</si>
  <si>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</si>
  <si>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</si>
  <si>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</si>
  <si>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</si>
  <si>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Interest Income</t>
  </si>
  <si>
    <t>Operating Income</t>
  </si>
  <si>
    <t>SG&amp;A</t>
  </si>
  <si>
    <t>R&amp;D</t>
  </si>
  <si>
    <t>Gross Profit</t>
  </si>
  <si>
    <t>COGS</t>
  </si>
  <si>
    <t>Name</t>
  </si>
  <si>
    <t>Rezdiffra (resmetirom)</t>
  </si>
  <si>
    <t>Indication</t>
  </si>
  <si>
    <t>MOA</t>
  </si>
  <si>
    <t>THR-beta agonist</t>
  </si>
  <si>
    <t>NASH</t>
  </si>
  <si>
    <t>Q125</t>
  </si>
  <si>
    <t>Q225</t>
  </si>
  <si>
    <t>Q325</t>
  </si>
  <si>
    <t>Q425</t>
  </si>
  <si>
    <t>Ending Patients</t>
  </si>
  <si>
    <t>Brand</t>
  </si>
  <si>
    <t>Rezdiffra</t>
  </si>
  <si>
    <t>Generic</t>
  </si>
  <si>
    <t>resmetirom</t>
  </si>
  <si>
    <t>Thyroid Beta agonist</t>
  </si>
  <si>
    <t>Clinical Trials</t>
  </si>
  <si>
    <t>80mg vs. 100mg vs. placebo</t>
  </si>
  <si>
    <t>25.9% vs. 29.9% vs. 9.7%</t>
  </si>
  <si>
    <t>Fibrosis improvement of at least one stage with no worsening of NAFLD: 24.2% 25.9% vs. 14.2%</t>
  </si>
  <si>
    <t>NASH/NAFLD, MASH. F0 (no fibrosis) to F4 (cirrhosis). Global prevalence of NASH is 4-6%.</t>
  </si>
  <si>
    <t>Phase III "MAESTRO-NASH" n=966 NASH 54 months - NCT03900429</t>
  </si>
  <si>
    <t>PE: NASH Resolution with no worsening of fibrosis at 52 weeks with biopsy</t>
  </si>
  <si>
    <t xml:space="preserve">  NAFLD activity score (0 to 8 scale)</t>
  </si>
  <si>
    <t xml:space="preserve">  VCTE evaluation</t>
  </si>
  <si>
    <t>50% required to be F3, no more than 15% F1. Biopsies taken at baseline and 52 weeks.</t>
  </si>
  <si>
    <t>Co-primary: NASH Resolution defined as hepatocellular ballooning score of 0, lobular inflammation score of 0 or 1, and reduction in NAFLD by &gt;= 2 with no worsening of fibrosis</t>
  </si>
  <si>
    <t>Co-primary:  improvement in fibrosis by at least one stage with no worsening of the NAFLD score.</t>
  </si>
  <si>
    <t>Economics</t>
  </si>
  <si>
    <t>Roche royalty</t>
  </si>
  <si>
    <t>Approval</t>
  </si>
  <si>
    <t>IP</t>
  </si>
  <si>
    <t>Admin</t>
  </si>
  <si>
    <t>oral</t>
  </si>
  <si>
    <t>Competition</t>
  </si>
  <si>
    <t>Ozempic</t>
  </si>
  <si>
    <t>Operating Expenses</t>
  </si>
  <si>
    <t>Discount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</si>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</sst>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" fillId="0" borderId="0" xfId="0" applyNumberFormat="1" applyFont="1"/>
    <xf numFmtId="0" fontId="2" fillId="0" borderId="0" xfId="1"/>
    <xf numFmtId="0" fontId="3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18C91C6-E5D8-43F5-88C2-0419BAC362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13607</xdr:colOff>
      <xdr:row>0</xdr:row>
      <xdr:rowOff>27214</xdr:rowOff>
    </xdr:from>
    <xdr:to>
      <xdr:col>22</xdr:col>
      <xdr:colOff>13607</xdr:colOff>
      <xdr:row>58</xdr:row>
      <xdr:rowOff>40822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1C0D5F-25AE-0F2D-E236-5FDE8F3C1C77}"/>
            </a:ext>
          </a:extLst>
        </xdr:cNvPr>
        <xdr:cNvCxnSpPr/>
      </xdr:nvCxnSpPr>
      <xdr:spPr>
        <a:xfrm>
          <a:off x="13661571" y="27214"/>
          <a:ext cx="0" cy="94841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A1CC-102E-4CC2-9308-FC3A42BEBBEA}">
  <dimension ref="B2:N10"/>
  <sheetViews>
    <sheetView zoomScaleNormal="100" workbookViewId="0">
      <selection activeCell="N7" sqref="N7"/>
    </sheetView>
  </sheetViews>
  <sheetFormatPr defaultRowHeight="12.75" x14ac:dyDescent="0.2"/>
  <cols>
    <col min="1" max="1" width="4.140625" customWidth="1"/>
    <col min="2" max="2" width="19.85546875" bestFit="1" customWidth="1"/>
    <col min="4" max="4" width="15.7109375" bestFit="1" customWidth="1"/>
    <col min="5" max="5" width="12.42578125" bestFit="1" customWidth="1"/>
    <col min="9" max="9" width="10.85546875" bestFit="1" customWidth="1"/>
  </cols>
  <sheetData>
    <row r="2" spans="2:14" x14ac:dyDescent="0.2">
      <c r="B2" s="14" t="s">
        <v>28</v>
      </c>
      <c r="C2" s="15" t="s">
        <v>30</v>
      </c>
      <c r="D2" s="15" t="s">
        <v>31</v>
      </c>
      <c r="E2" s="15" t="s">
        <v>56</v>
      </c>
      <c r="F2" s="15" t="s">
        <v>58</v>
      </c>
      <c r="G2" s="15" t="s">
        <v>59</v>
      </c>
      <c r="H2" s="15" t="s">
        <v>60</v>
      </c>
      <c r="I2" s="16" t="s">
        <v>62</v>
      </c>
      <c r="L2" t="s">
        <v>0</v>
      </c>
      <c r="M2" s="1">
        <v>305</v>
      </c>
    </row>
    <row r="3" spans="2:14" x14ac:dyDescent="0.2">
      <c r="B3" s="9" t="s">
        <v>29</v>
      </c>
      <c r="C3" t="s">
        <v>33</v>
      </c>
      <c r="D3" t="s">
        <v>32</v>
      </c>
      <c r="E3" t="s">
        <v>57</v>
      </c>
      <c r="H3" t="s">
        <v>61</v>
      </c>
      <c r="I3" s="10" t="s">
        <v>63</v>
      </c>
      <c r="L3" t="s">
        <v>1</v>
      </c>
      <c r="M3" s="2">
        <v>21.712676999999999</v>
      </c>
      <c r="N3" s="3" t="s">
        <v>6</v>
      </c>
    </row>
    <row r="4" spans="2:14" x14ac:dyDescent="0.2">
      <c r="B4" s="9"/>
      <c r="I4" s="10"/>
      <c r="L4" t="s">
        <v>2</v>
      </c>
      <c r="M4" s="2">
        <f>+M2*M3</f>
        <v>6622.3664849999996</v>
      </c>
    </row>
    <row r="5" spans="2:14" x14ac:dyDescent="0.2">
      <c r="B5" s="9"/>
      <c r="I5" s="10"/>
      <c r="L5" t="s">
        <v>3</v>
      </c>
      <c r="M5" s="2">
        <f>494.597+5+563.197</f>
        <v>1062.7939999999999</v>
      </c>
      <c r="N5" s="3" t="s">
        <v>6</v>
      </c>
    </row>
    <row r="6" spans="2:14" x14ac:dyDescent="0.2">
      <c r="B6" s="9"/>
      <c r="I6" s="10"/>
      <c r="L6" t="s">
        <v>4</v>
      </c>
      <c r="M6" s="2">
        <v>116.607</v>
      </c>
      <c r="N6" s="3" t="s">
        <v>6</v>
      </c>
    </row>
    <row r="7" spans="2:14" x14ac:dyDescent="0.2">
      <c r="B7" s="9"/>
      <c r="I7" s="10"/>
      <c r="L7" t="s">
        <v>5</v>
      </c>
      <c r="M7" s="2">
        <f>+M4-M5+M6</f>
        <v>5676.1794849999997</v>
      </c>
    </row>
    <row r="8" spans="2:14" x14ac:dyDescent="0.2">
      <c r="B8" s="9"/>
      <c r="I8" s="10"/>
    </row>
    <row r="9" spans="2:14" x14ac:dyDescent="0.2">
      <c r="B9" s="9"/>
      <c r="I9" s="10"/>
    </row>
    <row r="10" spans="2:14" x14ac:dyDescent="0.2">
      <c r="B10" s="11"/>
      <c r="C10" s="12"/>
      <c r="D10" s="12"/>
      <c r="E10" s="12"/>
      <c r="F10" s="12"/>
      <c r="G10" s="12"/>
      <c r="H10" s="12"/>
      <c r="I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27-8E53-4166-B7B5-60BA19DEC21C}">
  <dimension ref="A1:AO22"/>
  <sheetViews>
    <sheetView tabSelected="1" zoomScaleNormal="10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E22" sqref="AE22"/>
    </sheetView>
  </sheetViews>
  <sheetFormatPr defaultRowHeight="12.75" x14ac:dyDescent="0.2"/>
  <cols>
    <col min="1" max="1" width="5" bestFit="1" customWidth="1"/>
    <col min="2" max="2" width="16" bestFit="1" customWidth="1"/>
    <col min="3" max="14" width="9.140625" style="3"/>
    <col min="24" max="24" width="9.85546875" bestFit="1" customWidth="1"/>
  </cols>
  <sheetData>
    <row r="1" spans="1:41" x14ac:dyDescent="0.2">
      <c r="A1" s="18" t="s">
        <v>7</v>
      </c>
    </row>
    <row r="2" spans="1:4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O2" s="3" t="s">
        <v>34</v>
      </c>
      <c r="P2" s="3" t="s">
        <v>35</v>
      </c>
      <c r="Q2" s="3" t="s">
        <v>36</v>
      </c>
      <c r="R2" s="3" t="s">
        <v>37</v>
      </c>
      <c r="T2">
        <v>2023</v>
      </c>
      <c r="U2">
        <f>+T2+1</f>
        <v>2024</v>
      </c>
      <c r="V2">
        <f t="shared" ref="V2:AO2" si="0">+U2+1</f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  <c r="AG2">
        <f t="shared" si="0"/>
        <v>2036</v>
      </c>
      <c r="AH2">
        <f t="shared" si="0"/>
        <v>2037</v>
      </c>
      <c r="AI2">
        <f t="shared" si="0"/>
        <v>2038</v>
      </c>
      <c r="AJ2">
        <f t="shared" si="0"/>
        <v>2039</v>
      </c>
      <c r="AK2">
        <f t="shared" si="0"/>
        <v>2040</v>
      </c>
      <c r="AL2">
        <f t="shared" si="0"/>
        <v>2041</v>
      </c>
      <c r="AM2">
        <f t="shared" si="0"/>
        <v>2042</v>
      </c>
      <c r="AN2">
        <f t="shared" si="0"/>
        <v>2043</v>
      </c>
      <c r="AO2">
        <f t="shared" si="0"/>
        <v>2044</v>
      </c>
    </row>
    <row r="3" spans="1:41" x14ac:dyDescent="0.2">
      <c r="M3" s="4">
        <f t="shared" ref="M3:R3" si="1">0.05/4</f>
        <v>1.2500000000000001E-2</v>
      </c>
      <c r="N3" s="4">
        <f t="shared" si="1"/>
        <v>1.2500000000000001E-2</v>
      </c>
      <c r="O3" s="4">
        <f t="shared" si="1"/>
        <v>1.2500000000000001E-2</v>
      </c>
      <c r="P3" s="4">
        <f t="shared" si="1"/>
        <v>1.2500000000000001E-2</v>
      </c>
      <c r="Q3" s="4">
        <f t="shared" si="1"/>
        <v>1.2500000000000001E-2</v>
      </c>
      <c r="R3" s="4">
        <f t="shared" si="1"/>
        <v>1.2500000000000001E-2</v>
      </c>
    </row>
    <row r="4" spans="1:41" x14ac:dyDescent="0.2">
      <c r="B4" t="s">
        <v>38</v>
      </c>
      <c r="L4" s="5">
        <v>2000</v>
      </c>
      <c r="M4" s="5">
        <v>3500</v>
      </c>
      <c r="N4" s="5">
        <v>6000</v>
      </c>
      <c r="O4" s="5">
        <f>+N4+3000</f>
        <v>9000</v>
      </c>
      <c r="P4" s="5">
        <f>+O4+3000</f>
        <v>12000</v>
      </c>
      <c r="Q4" s="5">
        <f>+P4+3000</f>
        <v>15000</v>
      </c>
      <c r="R4" s="5">
        <f>+Q4+3000</f>
        <v>18000</v>
      </c>
    </row>
    <row r="6" spans="1:41" s="6" customFormat="1" x14ac:dyDescent="0.2">
      <c r="B6" s="6" t="s">
        <v>8</v>
      </c>
      <c r="C6" s="7"/>
      <c r="D6" s="7"/>
      <c r="E6" s="7"/>
      <c r="F6" s="7"/>
      <c r="G6" s="7"/>
      <c r="H6" s="8">
        <v>0</v>
      </c>
      <c r="I6" s="7"/>
      <c r="J6" s="8">
        <v>0</v>
      </c>
      <c r="K6" s="8">
        <v>0</v>
      </c>
      <c r="L6" s="8">
        <v>14.638</v>
      </c>
      <c r="M6" s="8">
        <v>62.174999999999997</v>
      </c>
      <c r="N6" s="8">
        <v>103.32</v>
      </c>
      <c r="O6" s="8">
        <v>137.30000000000001</v>
      </c>
      <c r="P6" s="8">
        <v>160</v>
      </c>
      <c r="Q6" s="8">
        <f t="shared" ref="Q6:R6" si="2">+Q4*Q3</f>
        <v>187.5</v>
      </c>
      <c r="R6" s="8">
        <f t="shared" si="2"/>
        <v>225</v>
      </c>
      <c r="U6" s="17">
        <f>SUM(K6:N6)</f>
        <v>180.13299999999998</v>
      </c>
      <c r="V6" s="17">
        <f>SUM(O6:R6)</f>
        <v>709.8</v>
      </c>
      <c r="W6" s="17">
        <f>+R6*4*1.3</f>
        <v>1170</v>
      </c>
      <c r="X6" s="17">
        <f t="shared" ref="X6:AC6" si="3">+W6*1.2</f>
        <v>1404</v>
      </c>
      <c r="Y6" s="17">
        <f t="shared" si="3"/>
        <v>1684.8</v>
      </c>
      <c r="Z6" s="17">
        <f t="shared" si="3"/>
        <v>2021.7599999999998</v>
      </c>
      <c r="AA6" s="17">
        <f t="shared" si="3"/>
        <v>2426.1119999999996</v>
      </c>
      <c r="AB6" s="17">
        <f t="shared" si="3"/>
        <v>2911.3343999999993</v>
      </c>
      <c r="AC6" s="17">
        <f t="shared" si="3"/>
        <v>3493.601279999999</v>
      </c>
    </row>
    <row r="7" spans="1:41" x14ac:dyDescent="0.2">
      <c r="B7" t="s">
        <v>27</v>
      </c>
      <c r="H7" s="5">
        <v>0</v>
      </c>
      <c r="J7" s="2">
        <v>0</v>
      </c>
      <c r="K7" s="2">
        <v>0</v>
      </c>
      <c r="L7" s="5">
        <v>0.63600000000000001</v>
      </c>
      <c r="M7" s="5">
        <v>2.1520000000000001</v>
      </c>
      <c r="N7" s="2">
        <v>3.4449999999999998</v>
      </c>
      <c r="O7" s="2">
        <v>4.5129999999999999</v>
      </c>
      <c r="U7" s="2">
        <f>SUM(K7:N7)</f>
        <v>6.2330000000000005</v>
      </c>
      <c r="V7" s="2">
        <f>+V6*0.03</f>
        <v>21.293999999999997</v>
      </c>
      <c r="W7" s="2">
        <f t="shared" ref="W7:AC7" si="4">+W6*0.03</f>
        <v>35.1</v>
      </c>
      <c r="X7" s="2">
        <f t="shared" si="4"/>
        <v>42.12</v>
      </c>
      <c r="Y7" s="2">
        <f t="shared" si="4"/>
        <v>50.543999999999997</v>
      </c>
      <c r="Z7" s="2">
        <f t="shared" si="4"/>
        <v>60.652799999999992</v>
      </c>
      <c r="AA7" s="2">
        <f t="shared" si="4"/>
        <v>72.783359999999988</v>
      </c>
      <c r="AB7" s="2">
        <f t="shared" si="4"/>
        <v>87.340031999999979</v>
      </c>
      <c r="AC7" s="2">
        <f t="shared" si="4"/>
        <v>104.80803839999996</v>
      </c>
    </row>
    <row r="8" spans="1:41" x14ac:dyDescent="0.2">
      <c r="B8" t="s">
        <v>26</v>
      </c>
      <c r="H8" s="5">
        <f>+H6-H7</f>
        <v>0</v>
      </c>
      <c r="J8" s="2">
        <f t="shared" ref="J8:O8" si="5">+J6-J7</f>
        <v>0</v>
      </c>
      <c r="K8" s="2">
        <f t="shared" si="5"/>
        <v>0</v>
      </c>
      <c r="L8" s="5">
        <f t="shared" si="5"/>
        <v>14.002000000000001</v>
      </c>
      <c r="M8" s="5">
        <f t="shared" si="5"/>
        <v>60.022999999999996</v>
      </c>
      <c r="N8" s="2">
        <f t="shared" si="5"/>
        <v>99.875</v>
      </c>
      <c r="O8" s="2">
        <f t="shared" si="5"/>
        <v>132.78700000000001</v>
      </c>
      <c r="U8" s="2">
        <f>+U6-U7</f>
        <v>173.89999999999998</v>
      </c>
      <c r="V8" s="2">
        <f>+V6-V7</f>
        <v>688.50599999999997</v>
      </c>
      <c r="W8" s="2">
        <f t="shared" ref="W8:AC8" si="6">+W6-W7</f>
        <v>1134.9000000000001</v>
      </c>
      <c r="X8" s="2">
        <f t="shared" si="6"/>
        <v>1361.88</v>
      </c>
      <c r="Y8" s="2">
        <f t="shared" si="6"/>
        <v>1634.2559999999999</v>
      </c>
      <c r="Z8" s="2">
        <f t="shared" si="6"/>
        <v>1961.1071999999997</v>
      </c>
      <c r="AA8" s="2">
        <f t="shared" si="6"/>
        <v>2353.3286399999997</v>
      </c>
      <c r="AB8" s="2">
        <f t="shared" si="6"/>
        <v>2823.9943679999992</v>
      </c>
      <c r="AC8" s="2">
        <f t="shared" si="6"/>
        <v>3388.793241599999</v>
      </c>
    </row>
    <row r="9" spans="1:41" x14ac:dyDescent="0.2">
      <c r="B9" t="s">
        <v>25</v>
      </c>
      <c r="H9" s="5">
        <v>68.605000000000004</v>
      </c>
      <c r="J9" s="2">
        <v>70.64</v>
      </c>
      <c r="K9" s="2">
        <v>71.236999999999995</v>
      </c>
      <c r="L9" s="5">
        <v>71.090999999999994</v>
      </c>
      <c r="M9" s="5">
        <v>68.742000000000004</v>
      </c>
      <c r="N9" s="2">
        <v>25.648</v>
      </c>
      <c r="O9" s="2">
        <v>44.171999999999997</v>
      </c>
      <c r="U9" s="2">
        <f>SUM(K9:N9)</f>
        <v>236.71799999999999</v>
      </c>
    </row>
    <row r="10" spans="1:41" x14ac:dyDescent="0.2">
      <c r="B10" t="s">
        <v>24</v>
      </c>
      <c r="H10" s="5">
        <v>17.844999999999999</v>
      </c>
      <c r="J10" s="2">
        <v>46.536000000000001</v>
      </c>
      <c r="K10" s="2">
        <v>80.8</v>
      </c>
      <c r="L10" s="5">
        <v>105.44799999999999</v>
      </c>
      <c r="M10" s="5">
        <v>107.58499999999999</v>
      </c>
      <c r="N10" s="2">
        <v>141.22399999999999</v>
      </c>
      <c r="O10" s="2">
        <v>167.876</v>
      </c>
      <c r="U10" s="2">
        <f>SUM(K10:N10)</f>
        <v>435.05699999999996</v>
      </c>
      <c r="V10" s="2">
        <f>+U10*1.05</f>
        <v>456.80984999999998</v>
      </c>
      <c r="W10" s="2">
        <f t="shared" ref="W10:AC10" si="7">+V10*1.05</f>
        <v>479.65034250000002</v>
      </c>
      <c r="X10" s="2">
        <f t="shared" si="7"/>
        <v>503.63285962500004</v>
      </c>
      <c r="Y10" s="2">
        <f t="shared" si="7"/>
        <v>528.81450260625002</v>
      </c>
      <c r="Z10" s="2">
        <f t="shared" si="7"/>
        <v>555.25522773656257</v>
      </c>
      <c r="AA10" s="2">
        <f t="shared" si="7"/>
        <v>583.01798912339075</v>
      </c>
      <c r="AB10" s="2">
        <f t="shared" si="7"/>
        <v>612.1688885795603</v>
      </c>
      <c r="AC10" s="2">
        <f t="shared" si="7"/>
        <v>642.77733300853833</v>
      </c>
    </row>
    <row r="11" spans="1:41" x14ac:dyDescent="0.2">
      <c r="B11" t="s">
        <v>64</v>
      </c>
      <c r="H11" s="5">
        <f>+H9+H10</f>
        <v>86.45</v>
      </c>
      <c r="J11" s="2">
        <f t="shared" ref="J11:O11" si="8">+J9+J10</f>
        <v>117.176</v>
      </c>
      <c r="K11" s="2">
        <f t="shared" si="8"/>
        <v>152.03699999999998</v>
      </c>
      <c r="L11" s="5">
        <f t="shared" si="8"/>
        <v>176.53899999999999</v>
      </c>
      <c r="M11" s="5">
        <f t="shared" si="8"/>
        <v>176.327</v>
      </c>
      <c r="N11" s="2">
        <f t="shared" si="8"/>
        <v>166.87199999999999</v>
      </c>
      <c r="O11" s="2">
        <f t="shared" si="8"/>
        <v>212.048</v>
      </c>
      <c r="U11" s="2">
        <f>+U9+U10</f>
        <v>671.77499999999998</v>
      </c>
      <c r="V11" s="2">
        <f t="shared" ref="V11:AC11" si="9">+V9+V10</f>
        <v>456.80984999999998</v>
      </c>
      <c r="W11" s="2">
        <f t="shared" si="9"/>
        <v>479.65034250000002</v>
      </c>
      <c r="X11" s="2">
        <f t="shared" si="9"/>
        <v>503.63285962500004</v>
      </c>
      <c r="Y11" s="2">
        <f t="shared" si="9"/>
        <v>528.81450260625002</v>
      </c>
      <c r="Z11" s="2">
        <f t="shared" si="9"/>
        <v>555.25522773656257</v>
      </c>
      <c r="AA11" s="2">
        <f t="shared" si="9"/>
        <v>583.01798912339075</v>
      </c>
      <c r="AB11" s="2">
        <f t="shared" si="9"/>
        <v>612.1688885795603</v>
      </c>
      <c r="AC11" s="2">
        <f t="shared" si="9"/>
        <v>642.77733300853833</v>
      </c>
    </row>
    <row r="12" spans="1:41" x14ac:dyDescent="0.2">
      <c r="B12" t="s">
        <v>23</v>
      </c>
      <c r="H12" s="5">
        <f>+H8-H11</f>
        <v>-86.45</v>
      </c>
      <c r="J12" s="2">
        <f t="shared" ref="J12:O12" si="10">+J8-J11</f>
        <v>-117.176</v>
      </c>
      <c r="K12" s="2">
        <f t="shared" si="10"/>
        <v>-152.03699999999998</v>
      </c>
      <c r="L12" s="5">
        <f t="shared" si="10"/>
        <v>-162.53699999999998</v>
      </c>
      <c r="M12" s="5">
        <f t="shared" si="10"/>
        <v>-116.304</v>
      </c>
      <c r="N12" s="2">
        <f t="shared" si="10"/>
        <v>-66.996999999999986</v>
      </c>
      <c r="O12" s="2">
        <f t="shared" si="10"/>
        <v>-79.260999999999996</v>
      </c>
      <c r="U12" s="2">
        <f>+U8-U11</f>
        <v>-497.875</v>
      </c>
      <c r="V12" s="2">
        <f t="shared" ref="V12:AC12" si="11">+V8-V11</f>
        <v>231.69614999999999</v>
      </c>
      <c r="W12" s="2">
        <f t="shared" si="11"/>
        <v>655.24965750000001</v>
      </c>
      <c r="X12" s="2">
        <f t="shared" si="11"/>
        <v>858.24714037500007</v>
      </c>
      <c r="Y12" s="2">
        <f t="shared" si="11"/>
        <v>1105.4414973937498</v>
      </c>
      <c r="Z12" s="2">
        <f t="shared" si="11"/>
        <v>1405.8519722634371</v>
      </c>
      <c r="AA12" s="2">
        <f t="shared" si="11"/>
        <v>1770.3106508766091</v>
      </c>
      <c r="AB12" s="2">
        <f t="shared" si="11"/>
        <v>2211.825479420439</v>
      </c>
      <c r="AC12" s="2">
        <f t="shared" si="11"/>
        <v>2746.0159085914606</v>
      </c>
    </row>
    <row r="13" spans="1:41" x14ac:dyDescent="0.2">
      <c r="B13" t="s">
        <v>22</v>
      </c>
      <c r="H13" s="5">
        <f>3.551-2.901</f>
        <v>0.65000000000000036</v>
      </c>
      <c r="J13" s="2">
        <f>8.953-3.971</f>
        <v>4.9819999999999993</v>
      </c>
      <c r="K13" s="2">
        <f>8.334-3.838</f>
        <v>4.4959999999999996</v>
      </c>
      <c r="L13" s="5">
        <f>14.222-3.656</f>
        <v>10.565999999999999</v>
      </c>
      <c r="M13" s="5">
        <f>13.019-3.679</f>
        <v>9.34</v>
      </c>
      <c r="N13" s="2">
        <f>11.079-3.498</f>
        <v>7.5810000000000004</v>
      </c>
      <c r="O13" s="2">
        <f>9.37-3.297</f>
        <v>6.0729999999999986</v>
      </c>
      <c r="U13" s="2">
        <f>SUM(K13:N13)</f>
        <v>31.982999999999997</v>
      </c>
    </row>
    <row r="14" spans="1:41" x14ac:dyDescent="0.2">
      <c r="B14" t="s">
        <v>21</v>
      </c>
      <c r="H14" s="5">
        <f>+H12+H13</f>
        <v>-85.8</v>
      </c>
      <c r="J14" s="2">
        <f t="shared" ref="J14:O14" si="12">+J12+J13</f>
        <v>-112.194</v>
      </c>
      <c r="K14" s="2">
        <f t="shared" si="12"/>
        <v>-147.54099999999997</v>
      </c>
      <c r="L14" s="5">
        <f t="shared" si="12"/>
        <v>-151.97099999999998</v>
      </c>
      <c r="M14" s="5">
        <f t="shared" si="12"/>
        <v>-106.964</v>
      </c>
      <c r="N14" s="2">
        <f t="shared" si="12"/>
        <v>-59.415999999999983</v>
      </c>
      <c r="O14" s="2">
        <f t="shared" si="12"/>
        <v>-73.188000000000002</v>
      </c>
      <c r="U14" s="2">
        <f>+U12+U13</f>
        <v>-465.892</v>
      </c>
      <c r="V14" s="2">
        <f t="shared" ref="V14:AC14" si="13">+V12+V13</f>
        <v>231.69614999999999</v>
      </c>
      <c r="W14" s="2">
        <f t="shared" si="13"/>
        <v>655.24965750000001</v>
      </c>
      <c r="X14" s="2">
        <f t="shared" si="13"/>
        <v>858.24714037500007</v>
      </c>
      <c r="Y14" s="2">
        <f t="shared" si="13"/>
        <v>1105.4414973937498</v>
      </c>
      <c r="Z14" s="2">
        <f t="shared" si="13"/>
        <v>1405.8519722634371</v>
      </c>
      <c r="AA14" s="2">
        <f t="shared" si="13"/>
        <v>1770.3106508766091</v>
      </c>
      <c r="AB14" s="2">
        <f t="shared" si="13"/>
        <v>2211.825479420439</v>
      </c>
      <c r="AC14" s="2">
        <f t="shared" si="13"/>
        <v>2746.0159085914606</v>
      </c>
    </row>
    <row r="15" spans="1:41" x14ac:dyDescent="0.2">
      <c r="B15" t="s">
        <v>20</v>
      </c>
      <c r="H15" s="4">
        <f>H14/H16</f>
        <v>-4.6857203273756598</v>
      </c>
      <c r="J15" s="4">
        <f t="shared" ref="J15:O15" si="14">J14/J16</f>
        <v>-5.6775920783132623</v>
      </c>
      <c r="K15" s="4">
        <f t="shared" si="14"/>
        <v>-7.3764713158252722</v>
      </c>
      <c r="L15" s="4">
        <f t="shared" si="14"/>
        <v>-7.1005706490683425</v>
      </c>
      <c r="M15" s="4">
        <f t="shared" si="14"/>
        <v>-4.9188057222112702</v>
      </c>
      <c r="N15" s="4">
        <f t="shared" si="14"/>
        <v>-2.709418965613553</v>
      </c>
      <c r="O15" s="4">
        <f t="shared" si="14"/>
        <v>-3.312976312771617</v>
      </c>
      <c r="U15" s="4">
        <f>U14/U16</f>
        <v>-21.245062285034834</v>
      </c>
      <c r="V15" s="4">
        <f t="shared" ref="V15:AC15" si="15">V14/V16</f>
        <v>10.565536944083121</v>
      </c>
      <c r="W15" s="4">
        <f t="shared" si="15"/>
        <v>29.879928794302636</v>
      </c>
      <c r="X15" s="4">
        <f t="shared" si="15"/>
        <v>39.136782673280315</v>
      </c>
      <c r="Y15" s="4">
        <f t="shared" si="15"/>
        <v>50.40905073405937</v>
      </c>
      <c r="Z15" s="4">
        <f t="shared" si="15"/>
        <v>64.1080179833004</v>
      </c>
      <c r="AA15" s="4">
        <f t="shared" si="15"/>
        <v>80.727636537511088</v>
      </c>
      <c r="AB15" s="4">
        <f t="shared" si="15"/>
        <v>100.86107955044143</v>
      </c>
      <c r="AC15" s="4">
        <f t="shared" si="15"/>
        <v>125.22060695122927</v>
      </c>
    </row>
    <row r="16" spans="1:41" x14ac:dyDescent="0.2">
      <c r="B16" t="s">
        <v>1</v>
      </c>
      <c r="H16" s="5">
        <v>18.310952</v>
      </c>
      <c r="J16" s="2">
        <v>19.760842</v>
      </c>
      <c r="K16" s="2">
        <v>20.001569</v>
      </c>
      <c r="L16" s="5">
        <v>21.402646000000001</v>
      </c>
      <c r="M16" s="5">
        <v>21.745929</v>
      </c>
      <c r="N16" s="2">
        <v>21.929424999999998</v>
      </c>
      <c r="O16" s="2">
        <v>22.091314000000001</v>
      </c>
      <c r="U16" s="2">
        <f>+N16</f>
        <v>21.929424999999998</v>
      </c>
      <c r="V16" s="2">
        <f>+U16</f>
        <v>21.929424999999998</v>
      </c>
      <c r="W16" s="2">
        <f t="shared" ref="W16:AC16" si="16">+V16</f>
        <v>21.929424999999998</v>
      </c>
      <c r="X16" s="2">
        <f t="shared" si="16"/>
        <v>21.929424999999998</v>
      </c>
      <c r="Y16" s="2">
        <f t="shared" si="16"/>
        <v>21.929424999999998</v>
      </c>
      <c r="Z16" s="2">
        <f t="shared" si="16"/>
        <v>21.929424999999998</v>
      </c>
      <c r="AA16" s="2">
        <f t="shared" si="16"/>
        <v>21.929424999999998</v>
      </c>
      <c r="AB16" s="2">
        <f t="shared" si="16"/>
        <v>21.929424999999998</v>
      </c>
      <c r="AC16" s="2">
        <f t="shared" si="16"/>
        <v>21.929424999999998</v>
      </c>
    </row>
    <row r="18" spans="21:31" x14ac:dyDescent="0.2">
      <c r="U18" s="20"/>
    </row>
    <row r="20" spans="21:31" x14ac:dyDescent="0.2">
      <c r="AD20" t="s">
        <v>65</v>
      </c>
      <c r="AE20" s="20">
        <v>0.09</v>
      </c>
    </row>
    <row r="21" spans="21:31" x14ac:dyDescent="0.2">
      <c r="AD21" t="s">
        <v>66</v>
      </c>
      <c r="AE21" s="2">
        <f>NPV(AE20,V14:AC14)+Main!M5-Main!M6</f>
        <v>7713.4724818949308</v>
      </c>
    </row>
    <row r="22" spans="21:31" x14ac:dyDescent="0.2">
      <c r="AD22" t="s">
        <v>67</v>
      </c>
      <c r="AE22" s="1">
        <f>+AE21/Main!M3</f>
        <v>355.25202543633526</v>
      </c>
    </row>
  </sheetData>
  <hyperlinks>
    <hyperlink ref="A1" location="Main!A1" display="Main" xr:uid="{780C59A9-4B38-4F69-B050-5004B8832032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B434-8395-4AD8-A583-6409C6F66DC7}">
  <dimension ref="A1:C18"/>
  <sheetViews>
    <sheetView zoomScaleNormal="100" workbookViewId="0">
      <selection activeCell="E32" sqref="E32"/>
    </sheetView>
  </sheetViews>
  <sheetFormatPr defaultRowHeight="12.75" x14ac:dyDescent="0.2"/>
  <cols>
    <col min="1" max="1" width="5" bestFit="1" customWidth="1"/>
    <col min="2" max="2" width="13.5703125" customWidth="1"/>
    <col min="3" max="3" width="11.42578125" customWidth="1"/>
  </cols>
  <sheetData>
    <row r="1" spans="1:3" x14ac:dyDescent="0.2">
      <c r="A1" s="18" t="s">
        <v>7</v>
      </c>
    </row>
    <row r="2" spans="1:3" x14ac:dyDescent="0.2">
      <c r="B2" t="s">
        <v>39</v>
      </c>
      <c r="C2" t="s">
        <v>40</v>
      </c>
    </row>
    <row r="3" spans="1:3" x14ac:dyDescent="0.2">
      <c r="B3" t="s">
        <v>41</v>
      </c>
      <c r="C3" t="s">
        <v>42</v>
      </c>
    </row>
    <row r="4" spans="1:3" x14ac:dyDescent="0.2">
      <c r="B4" t="s">
        <v>30</v>
      </c>
      <c r="C4" t="s">
        <v>48</v>
      </c>
    </row>
    <row r="5" spans="1:3" x14ac:dyDescent="0.2">
      <c r="C5" t="s">
        <v>51</v>
      </c>
    </row>
    <row r="6" spans="1:3" x14ac:dyDescent="0.2">
      <c r="C6" t="s">
        <v>52</v>
      </c>
    </row>
    <row r="7" spans="1:3" x14ac:dyDescent="0.2">
      <c r="B7" t="s">
        <v>31</v>
      </c>
      <c r="C7" t="s">
        <v>43</v>
      </c>
    </row>
    <row r="9" spans="1:3" x14ac:dyDescent="0.2">
      <c r="B9" s="19" t="s">
        <v>44</v>
      </c>
    </row>
    <row r="11" spans="1:3" x14ac:dyDescent="0.2">
      <c r="B11" s="19" t="s">
        <v>49</v>
      </c>
    </row>
    <row r="12" spans="1:3" x14ac:dyDescent="0.2">
      <c r="B12" t="s">
        <v>45</v>
      </c>
    </row>
    <row r="13" spans="1:3" x14ac:dyDescent="0.2">
      <c r="B13" t="s">
        <v>50</v>
      </c>
    </row>
    <row r="14" spans="1:3" x14ac:dyDescent="0.2">
      <c r="B14" t="s">
        <v>46</v>
      </c>
    </row>
    <row r="15" spans="1:3" x14ac:dyDescent="0.2">
      <c r="B15" t="s">
        <v>47</v>
      </c>
    </row>
    <row r="16" spans="1:3" x14ac:dyDescent="0.2">
      <c r="B16" t="s">
        <v>53</v>
      </c>
    </row>
    <row r="17" spans="2:2" x14ac:dyDescent="0.2">
      <c r="B17" t="s">
        <v>54</v>
      </c>
    </row>
    <row r="18" spans="2:2" x14ac:dyDescent="0.2">
      <c r="B18" t="s">
        <v>55</v>
      </c>
    </row>
  </sheetData>
  <hyperlinks>
    <hyperlink ref="A1" location="Main!A1" display="Main" xr:uid="{8767C605-905A-4130-927E-5743413F9E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Rezdiffra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2024-09-21T06:25:55Z</dcterms:created>
  <dcterms:modified xsi:type="dcterms:W3CDTF">2025-10-14T13:39:06Z</dcterms:modified>
</cp:coreProperties>
</file>