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D3B5B27D-3FB1-4C90-823C-6B431FD9E882}" xr6:coauthVersionLast="47" xr6:coauthVersionMax="47" xr10:uidLastSave="{00000000-0000-0000-0000-000000000000}"/>
  <bookViews>
    <workbookView xWindow="8565" yWindow="4575" windowWidth="18075" windowHeight="16020" xr2:uid="{55A27E74-966C-4880-AD63-AC8256DC275C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2" l="1"/>
  <c r="H23" i="2"/>
  <c r="L23" i="2"/>
  <c r="L21" i="2"/>
  <c r="H16" i="2"/>
  <c r="H18" i="2" s="1"/>
  <c r="H34" i="2" s="1"/>
  <c r="G23" i="2"/>
  <c r="K23" i="2"/>
  <c r="K21" i="2"/>
  <c r="G16" i="2"/>
  <c r="G18" i="2" s="1"/>
  <c r="G34" i="2" s="1"/>
  <c r="K16" i="2"/>
  <c r="K18" i="2" s="1"/>
  <c r="K34" i="2" s="1"/>
  <c r="M23" i="2"/>
  <c r="M21" i="2"/>
  <c r="M22" i="2" s="1"/>
  <c r="M24" i="2" s="1"/>
  <c r="M26" i="2" s="1"/>
  <c r="M27" i="2" s="1"/>
  <c r="M18" i="2"/>
  <c r="M34" i="2" s="1"/>
  <c r="Q39" i="2"/>
  <c r="P39" i="2"/>
  <c r="Q23" i="2"/>
  <c r="R25" i="2"/>
  <c r="R23" i="2"/>
  <c r="S33" i="2"/>
  <c r="R33" i="2"/>
  <c r="Q21" i="2"/>
  <c r="Q18" i="2"/>
  <c r="R21" i="2"/>
  <c r="R18" i="2"/>
  <c r="R34" i="2" s="1"/>
  <c r="E25" i="2"/>
  <c r="E23" i="2"/>
  <c r="E21" i="2"/>
  <c r="I23" i="2"/>
  <c r="E16" i="2"/>
  <c r="E18" i="2" s="1"/>
  <c r="E34" i="2" s="1"/>
  <c r="I16" i="2"/>
  <c r="I18" i="2" s="1"/>
  <c r="I34" i="2" s="1"/>
  <c r="S39" i="2"/>
  <c r="R39" i="2"/>
  <c r="T39" i="2"/>
  <c r="T33" i="2"/>
  <c r="S25" i="2"/>
  <c r="S23" i="2"/>
  <c r="T25" i="2"/>
  <c r="T23" i="2"/>
  <c r="T21" i="2"/>
  <c r="S21" i="2"/>
  <c r="T18" i="2"/>
  <c r="T34" i="2" s="1"/>
  <c r="S18" i="2"/>
  <c r="S34" i="2" s="1"/>
  <c r="U2" i="2"/>
  <c r="V2" i="2" s="1"/>
  <c r="W2" i="2" s="1"/>
  <c r="X2" i="2" s="1"/>
  <c r="M5" i="1"/>
  <c r="M6" i="1"/>
  <c r="M4" i="1"/>
  <c r="F23" i="2"/>
  <c r="J23" i="2"/>
  <c r="I21" i="2"/>
  <c r="H21" i="2"/>
  <c r="G21" i="2"/>
  <c r="F21" i="2"/>
  <c r="J21" i="2"/>
  <c r="F16" i="2"/>
  <c r="F18" i="2" s="1"/>
  <c r="F34" i="2" s="1"/>
  <c r="J16" i="2"/>
  <c r="J18" i="2" s="1"/>
  <c r="J34" i="2" s="1"/>
  <c r="L33" i="2" l="1"/>
  <c r="K33" i="2"/>
  <c r="G22" i="2"/>
  <c r="G24" i="2" s="1"/>
  <c r="Q22" i="2"/>
  <c r="Q24" i="2" s="1"/>
  <c r="Q26" i="2" s="1"/>
  <c r="Q27" i="2" s="1"/>
  <c r="M33" i="2"/>
  <c r="L18" i="2"/>
  <c r="K22" i="2"/>
  <c r="K24" i="2" s="1"/>
  <c r="K26" i="2" s="1"/>
  <c r="K27" i="2" s="1"/>
  <c r="R22" i="2"/>
  <c r="R24" i="2" s="1"/>
  <c r="R26" i="2" s="1"/>
  <c r="R27" i="2" s="1"/>
  <c r="Q34" i="2"/>
  <c r="I33" i="2"/>
  <c r="E22" i="2"/>
  <c r="E24" i="2" s="1"/>
  <c r="E26" i="2" s="1"/>
  <c r="E27" i="2" s="1"/>
  <c r="I22" i="2"/>
  <c r="I24" i="2" s="1"/>
  <c r="I26" i="2" s="1"/>
  <c r="I27" i="2" s="1"/>
  <c r="T22" i="2"/>
  <c r="T24" i="2" s="1"/>
  <c r="T26" i="2" s="1"/>
  <c r="T27" i="2" s="1"/>
  <c r="S22" i="2"/>
  <c r="S24" i="2" s="1"/>
  <c r="S26" i="2" s="1"/>
  <c r="S27" i="2" s="1"/>
  <c r="J33" i="2"/>
  <c r="G26" i="2"/>
  <c r="G27" i="2" s="1"/>
  <c r="H22" i="2"/>
  <c r="H24" i="2" s="1"/>
  <c r="H26" i="2" s="1"/>
  <c r="H27" i="2" s="1"/>
  <c r="M7" i="1"/>
  <c r="J22" i="2"/>
  <c r="J24" i="2" s="1"/>
  <c r="J26" i="2" s="1"/>
  <c r="J27" i="2" s="1"/>
  <c r="F22" i="2"/>
  <c r="F24" i="2" s="1"/>
  <c r="F26" i="2" s="1"/>
  <c r="F27" i="2" s="1"/>
  <c r="L34" i="2" l="1"/>
  <c r="L22" i="2"/>
  <c r="L24" i="2" s="1"/>
  <c r="L26" i="2" s="1"/>
  <c r="L27" i="2" s="1"/>
</calcChain>
</file>

<file path=xl/sharedStrings.xml><?xml version="1.0" encoding="utf-8"?>
<sst xmlns="http://schemas.openxmlformats.org/spreadsheetml/2006/main" count="58" uniqueCount="56">
  <si>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</si>
  <si>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</si>
  <si>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</si>
  <si>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</si>
  <si>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</si>
  <si>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</si>
  <si>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</si>
  <si>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</si>
  <si>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</si>
  <si>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</si>
  <si>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</si>
  <si>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</si>
  <si>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</si>
  <si>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</si>
  <si>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</si>
  <si>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</si>
  <si>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</si>
  <si>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</si>
  <si>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</si>
  <si>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</si>
  <si>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Cardiac Rhythm</t>
  </si>
  <si>
    <t>Structural Heart</t>
  </si>
  <si>
    <t>Coronary/Peripheral</t>
  </si>
  <si>
    <t>Respiratory</t>
  </si>
  <si>
    <t>Surgical Innovations</t>
  </si>
  <si>
    <t>Diabetes</t>
  </si>
  <si>
    <t>Cranial/Spinal</t>
  </si>
  <si>
    <t>Specialty Therapies</t>
  </si>
  <si>
    <t>Neuromodulation</t>
  </si>
  <si>
    <t>Revenue Growth</t>
  </si>
  <si>
    <t>COGS</t>
  </si>
  <si>
    <t>OpEx</t>
  </si>
  <si>
    <t>OpInc</t>
  </si>
  <si>
    <t>Gross Profit</t>
  </si>
  <si>
    <t>SG&amp;A</t>
  </si>
  <si>
    <t>R&amp;D</t>
  </si>
  <si>
    <t>S/O</t>
  </si>
  <si>
    <t>EPS</t>
  </si>
  <si>
    <t>Net Income</t>
  </si>
  <si>
    <t>Taxes</t>
  </si>
  <si>
    <t>Pretax Income</t>
  </si>
  <si>
    <t>Q122</t>
  </si>
  <si>
    <t>FY21</t>
  </si>
  <si>
    <t>FY22</t>
  </si>
  <si>
    <t>FY23</t>
  </si>
  <si>
    <t>FY24</t>
  </si>
  <si>
    <t>FY25</t>
  </si>
  <si>
    <t>FY26</t>
  </si>
  <si>
    <t>Interest Income</t>
  </si>
  <si>
    <t>Gross Margin</t>
  </si>
  <si>
    <t>FY20</t>
  </si>
  <si>
    <t>CFFO</t>
  </si>
  <si>
    <t>CapEx</t>
  </si>
  <si>
    <t>FY19</t>
  </si>
  <si>
    <t>FY18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</si>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</sst>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/>
    <xf numFmtId="0" fontId="3" fillId="0" borderId="0" xfId="1"/>
    <xf numFmtId="14" fontId="0" fillId="0" borderId="0" xfId="0" applyNumberFormat="1"/>
    <xf numFmtId="1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17860</xdr:colOff>
      <xdr:row>0</xdr:row>
      <xdr:rowOff>0</xdr:rowOff>
    </xdr:from>
    <xdr:to>
      <xdr:col>13</xdr:col>
      <xdr:colOff>17860</xdr:colOff>
      <xdr:row>49</xdr:row>
      <xdr:rowOff>103585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CDB4628-1E88-F735-EF28-4F344D6F5DE0}"/>
            </a:ext>
          </a:extLst>
        </xdr:cNvPr>
        <xdr:cNvCxnSpPr/>
      </xdr:nvCxnSpPr>
      <xdr:spPr>
        <a:xfrm>
          <a:off x="10638235" y="0"/>
          <a:ext cx="0" cy="7979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0</xdr:row>
      <xdr:rowOff>0</xdr:rowOff>
    </xdr:from>
    <xdr:to>
      <xdr:col>20</xdr:col>
      <xdr:colOff>38100</xdr:colOff>
      <xdr:row>49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2E91BB9-5AEF-47D6-96EF-5502111A23DF}"/>
            </a:ext>
          </a:extLst>
        </xdr:cNvPr>
        <xdr:cNvCxnSpPr/>
      </xdr:nvCxnSpPr>
      <xdr:spPr>
        <a:xfrm>
          <a:off x="13744575" y="0"/>
          <a:ext cx="0" cy="803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5FB1-3F17-4F35-BF1A-82D16AB8E026}">
  <dimension ref="L2:N7"/>
  <sheetViews>
    <sheetView tabSelected="1" zoomScaleNormal="100" workbookViewId="0">
      <selection activeCell="N7" sqref="N7"/>
    </sheetView>
  </sheetViews>
  <sheetFormatPr defaultRowHeight="12.75" x14ac:dyDescent="0.2"/>
  <sheetData>
    <row r="2" spans="12:14" x14ac:dyDescent="0.2">
      <c r="L2" t="s">
        <v>0</v>
      </c>
      <c r="M2" s="1">
        <v>79.069999999999993</v>
      </c>
    </row>
    <row r="3" spans="12:14" x14ac:dyDescent="0.2">
      <c r="L3" t="s">
        <v>1</v>
      </c>
      <c r="M3" s="3">
        <v>1330.423708</v>
      </c>
      <c r="N3" s="2" t="s">
        <v>55</v>
      </c>
    </row>
    <row r="4" spans="12:14" x14ac:dyDescent="0.2">
      <c r="L4" t="s">
        <v>2</v>
      </c>
      <c r="M4" s="3">
        <f>+M2*M3</f>
        <v>105196.60259155999</v>
      </c>
    </row>
    <row r="5" spans="12:14" x14ac:dyDescent="0.2">
      <c r="L5" t="s">
        <v>3</v>
      </c>
      <c r="M5" s="3">
        <f>3714+6859</f>
        <v>10573</v>
      </c>
      <c r="N5" s="2" t="s">
        <v>41</v>
      </c>
    </row>
    <row r="6" spans="12:14" x14ac:dyDescent="0.2">
      <c r="L6" t="s">
        <v>4</v>
      </c>
      <c r="M6" s="3">
        <f>20372+3742</f>
        <v>24114</v>
      </c>
      <c r="N6" s="2" t="s">
        <v>41</v>
      </c>
    </row>
    <row r="7" spans="12:14" x14ac:dyDescent="0.2">
      <c r="L7" t="s">
        <v>5</v>
      </c>
      <c r="M7" s="3">
        <f>+M4-M5+M6</f>
        <v>118737.60259155999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6896-BB08-437B-B7AB-C645F67C99B8}">
  <dimension ref="A1:Y39"/>
  <sheetViews>
    <sheetView zoomScaleNormal="100" workbookViewId="0">
      <pane xSplit="2" ySplit="3" topLeftCell="G5" activePane="bottomRight" state="frozen"/>
      <selection pane="topRight" activeCell="C1" sqref="C1"/>
      <selection pane="bottomLeft" activeCell="A3" sqref="A3"/>
      <selection pane="bottomRight" activeCell="P37" sqref="P37"/>
    </sheetView>
  </sheetViews>
  <sheetFormatPr defaultRowHeight="12.75" x14ac:dyDescent="0.2"/>
  <cols>
    <col min="1" max="1" width="5" bestFit="1" customWidth="1"/>
    <col min="2" max="2" width="17.7109375" bestFit="1" customWidth="1"/>
    <col min="3" max="4" width="9.140625" style="2"/>
    <col min="5" max="10" width="10.140625" style="2" bestFit="1" customWidth="1"/>
    <col min="11" max="14" width="10.140625" bestFit="1" customWidth="1"/>
    <col min="17" max="24" width="10.140625" bestFit="1" customWidth="1"/>
  </cols>
  <sheetData>
    <row r="1" spans="1:25" x14ac:dyDescent="0.2">
      <c r="A1" s="10" t="s">
        <v>6</v>
      </c>
    </row>
    <row r="2" spans="1:25" s="13" customFormat="1" x14ac:dyDescent="0.2">
      <c r="C2" s="14"/>
      <c r="D2" s="14"/>
      <c r="E2" s="14">
        <v>44225</v>
      </c>
      <c r="F2" s="14">
        <v>44316</v>
      </c>
      <c r="G2" s="14">
        <v>44406</v>
      </c>
      <c r="H2" s="14">
        <v>44499</v>
      </c>
      <c r="I2" s="14">
        <v>44589</v>
      </c>
      <c r="J2" s="14">
        <v>44680</v>
      </c>
      <c r="K2" s="13">
        <v>44771</v>
      </c>
      <c r="L2" s="13">
        <v>44864</v>
      </c>
      <c r="M2" s="13">
        <v>44953</v>
      </c>
      <c r="N2" s="13">
        <v>45045</v>
      </c>
      <c r="Q2" s="13">
        <v>43581</v>
      </c>
      <c r="R2" s="13">
        <v>43945</v>
      </c>
      <c r="S2" s="13">
        <v>44315</v>
      </c>
      <c r="T2" s="13">
        <v>44680</v>
      </c>
      <c r="U2" s="13">
        <f>+T2+365</f>
        <v>45045</v>
      </c>
      <c r="V2" s="13">
        <f>+U2+366</f>
        <v>45411</v>
      </c>
      <c r="W2" s="13">
        <f t="shared" ref="W2:X2" si="0">+V2+365</f>
        <v>45776</v>
      </c>
      <c r="X2" s="13">
        <f t="shared" si="0"/>
        <v>46141</v>
      </c>
    </row>
    <row r="3" spans="1:25" s="11" customFormat="1" x14ac:dyDescent="0.2"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  <c r="M3" s="12" t="s">
        <v>18</v>
      </c>
      <c r="N3" s="12" t="s">
        <v>19</v>
      </c>
      <c r="P3" s="12" t="s">
        <v>54</v>
      </c>
      <c r="Q3" s="12" t="s">
        <v>53</v>
      </c>
      <c r="R3" s="12" t="s">
        <v>50</v>
      </c>
      <c r="S3" s="12" t="s">
        <v>42</v>
      </c>
      <c r="T3" s="12" t="s">
        <v>43</v>
      </c>
      <c r="U3" s="12" t="s">
        <v>44</v>
      </c>
      <c r="V3" s="12" t="s">
        <v>45</v>
      </c>
      <c r="W3" s="12" t="s">
        <v>46</v>
      </c>
      <c r="X3" s="12" t="s">
        <v>47</v>
      </c>
      <c r="Y3" s="12"/>
    </row>
    <row r="4" spans="1:25" s="3" customFormat="1" x14ac:dyDescent="0.2">
      <c r="B4" s="3" t="s">
        <v>26</v>
      </c>
      <c r="C4" s="4"/>
      <c r="D4" s="4"/>
      <c r="E4" s="4">
        <v>1081</v>
      </c>
      <c r="F4" s="4">
        <v>1192</v>
      </c>
      <c r="G4" s="4">
        <v>1123</v>
      </c>
      <c r="H4" s="4">
        <v>1067</v>
      </c>
      <c r="I4" s="4">
        <v>1102</v>
      </c>
      <c r="J4" s="4">
        <v>1165</v>
      </c>
      <c r="K4" s="4">
        <v>1043</v>
      </c>
      <c r="L4" s="4">
        <v>1081</v>
      </c>
      <c r="M4" s="4">
        <v>1128</v>
      </c>
      <c r="N4" s="4"/>
    </row>
    <row r="5" spans="1:25" s="3" customFormat="1" x14ac:dyDescent="0.2">
      <c r="B5" s="3" t="s">
        <v>27</v>
      </c>
      <c r="C5" s="4"/>
      <c r="D5" s="4"/>
      <c r="E5" s="4">
        <v>618</v>
      </c>
      <c r="F5" s="4">
        <v>654</v>
      </c>
      <c r="G5" s="4">
        <v>641</v>
      </c>
      <c r="H5" s="4">
        <v>634</v>
      </c>
      <c r="I5" s="4">
        <v>633</v>
      </c>
      <c r="J5" s="4">
        <v>684</v>
      </c>
      <c r="K5" s="4">
        <v>667</v>
      </c>
      <c r="L5" s="4">
        <v>686</v>
      </c>
      <c r="M5" s="4">
        <v>699</v>
      </c>
      <c r="N5" s="4"/>
    </row>
    <row r="6" spans="1:25" s="3" customFormat="1" x14ac:dyDescent="0.2">
      <c r="B6" s="3" t="s">
        <v>28</v>
      </c>
      <c r="C6" s="4"/>
      <c r="D6" s="4"/>
      <c r="E6" s="4">
        <v>426</v>
      </c>
      <c r="F6" s="4">
        <v>449</v>
      </c>
      <c r="G6" s="4">
        <v>440</v>
      </c>
      <c r="H6" s="4">
        <v>435</v>
      </c>
      <c r="I6" s="4">
        <v>409</v>
      </c>
      <c r="J6" s="4">
        <v>451</v>
      </c>
      <c r="K6" s="4">
        <v>405</v>
      </c>
      <c r="L6" s="4">
        <v>419</v>
      </c>
      <c r="M6" s="4">
        <v>420</v>
      </c>
      <c r="N6" s="4"/>
    </row>
    <row r="7" spans="1:25" s="3" customForma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5" s="3" customFormat="1" x14ac:dyDescent="0.2">
      <c r="B8" s="3" t="s">
        <v>25</v>
      </c>
      <c r="C8" s="4"/>
      <c r="D8" s="4"/>
      <c r="E8" s="4">
        <v>630</v>
      </c>
      <c r="F8" s="4">
        <v>647</v>
      </c>
      <c r="G8" s="4">
        <v>572</v>
      </c>
      <c r="H8" s="4">
        <v>585</v>
      </c>
      <c r="I8" s="4">
        <v>584</v>
      </c>
      <c r="J8" s="4">
        <v>597</v>
      </c>
      <c r="K8" s="4">
        <v>541</v>
      </c>
      <c r="L8" s="4">
        <v>556</v>
      </c>
      <c r="M8" s="4">
        <v>570</v>
      </c>
      <c r="N8" s="4"/>
    </row>
    <row r="9" spans="1:25" s="3" customFormat="1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5" s="3" customFormat="1" x14ac:dyDescent="0.2">
      <c r="B10" s="3" t="s">
        <v>23</v>
      </c>
      <c r="C10" s="4"/>
      <c r="D10" s="4"/>
      <c r="E10" s="4">
        <v>890</v>
      </c>
      <c r="F10" s="4">
        <v>796</v>
      </c>
      <c r="G10" s="4">
        <v>768</v>
      </c>
      <c r="H10" s="4">
        <v>802</v>
      </c>
      <c r="I10" s="4">
        <v>771</v>
      </c>
      <c r="J10" s="4">
        <v>740</v>
      </c>
      <c r="K10" s="4">
        <v>664</v>
      </c>
      <c r="L10" s="4">
        <v>671</v>
      </c>
      <c r="M10" s="4">
        <v>712</v>
      </c>
      <c r="N10" s="4"/>
    </row>
    <row r="11" spans="1:25" s="3" customFormat="1" x14ac:dyDescent="0.2">
      <c r="B11" s="3" t="s">
        <v>24</v>
      </c>
      <c r="C11" s="4"/>
      <c r="D11" s="4"/>
      <c r="E11" s="4">
        <v>1423</v>
      </c>
      <c r="F11" s="4">
        <v>1542</v>
      </c>
      <c r="G11" s="4">
        <v>1554</v>
      </c>
      <c r="H11" s="4">
        <v>1497</v>
      </c>
      <c r="I11" s="4">
        <v>1519</v>
      </c>
      <c r="J11" s="4">
        <v>1491</v>
      </c>
      <c r="K11" s="4">
        <v>1338</v>
      </c>
      <c r="L11" s="4">
        <v>1398</v>
      </c>
      <c r="M11" s="4">
        <v>1425</v>
      </c>
      <c r="N11" s="4"/>
    </row>
    <row r="12" spans="1:25" s="3" customFormat="1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25" s="3" customFormat="1" x14ac:dyDescent="0.2">
      <c r="B13" s="3" t="s">
        <v>22</v>
      </c>
      <c r="C13" s="4"/>
      <c r="D13" s="4"/>
      <c r="E13" s="4">
        <v>605</v>
      </c>
      <c r="F13" s="4">
        <v>624</v>
      </c>
      <c r="G13" s="4">
        <v>620</v>
      </c>
      <c r="H13" s="4">
        <v>606</v>
      </c>
      <c r="I13" s="4">
        <v>603</v>
      </c>
      <c r="J13" s="4">
        <v>631</v>
      </c>
      <c r="K13" s="4">
        <v>579</v>
      </c>
      <c r="L13" s="4">
        <v>584</v>
      </c>
      <c r="M13" s="4">
        <v>581</v>
      </c>
      <c r="N13" s="4"/>
    </row>
    <row r="14" spans="1:25" s="3" customFormat="1" x14ac:dyDescent="0.2">
      <c r="B14" s="3" t="s">
        <v>21</v>
      </c>
      <c r="C14" s="4"/>
      <c r="D14" s="4"/>
      <c r="E14" s="4">
        <v>730</v>
      </c>
      <c r="F14" s="4">
        <v>744</v>
      </c>
      <c r="G14" s="4">
        <v>787</v>
      </c>
      <c r="H14" s="4">
        <v>750</v>
      </c>
      <c r="I14" s="4">
        <v>740</v>
      </c>
      <c r="J14" s="4">
        <v>778</v>
      </c>
      <c r="K14" s="4">
        <v>741</v>
      </c>
      <c r="L14" s="4">
        <v>757</v>
      </c>
      <c r="M14" s="4">
        <v>760</v>
      </c>
      <c r="N14" s="4"/>
    </row>
    <row r="15" spans="1:25" s="3" customFormat="1" x14ac:dyDescent="0.2">
      <c r="B15" s="3" t="s">
        <v>20</v>
      </c>
      <c r="C15" s="4"/>
      <c r="D15" s="4"/>
      <c r="E15" s="4">
        <v>1371</v>
      </c>
      <c r="F15" s="4">
        <v>1539</v>
      </c>
      <c r="G15" s="4">
        <v>1483</v>
      </c>
      <c r="H15" s="4">
        <v>1471</v>
      </c>
      <c r="I15" s="4">
        <v>1402</v>
      </c>
      <c r="J15" s="4">
        <v>1552</v>
      </c>
      <c r="K15" s="4">
        <v>1393</v>
      </c>
      <c r="L15" s="4">
        <v>1431</v>
      </c>
      <c r="M15" s="4">
        <v>1431</v>
      </c>
      <c r="N15" s="4"/>
    </row>
    <row r="16" spans="1:25" s="5" customFormat="1" x14ac:dyDescent="0.2">
      <c r="B16" s="5" t="s">
        <v>7</v>
      </c>
      <c r="C16" s="6"/>
      <c r="D16" s="6"/>
      <c r="E16" s="6">
        <f t="shared" ref="E16:L16" si="1">SUM(E4:E15)</f>
        <v>7774</v>
      </c>
      <c r="F16" s="6">
        <f t="shared" si="1"/>
        <v>8187</v>
      </c>
      <c r="G16" s="6">
        <f t="shared" si="1"/>
        <v>7988</v>
      </c>
      <c r="H16" s="6">
        <f t="shared" si="1"/>
        <v>7847</v>
      </c>
      <c r="I16" s="6">
        <f t="shared" si="1"/>
        <v>7763</v>
      </c>
      <c r="J16" s="6">
        <f t="shared" si="1"/>
        <v>8089</v>
      </c>
      <c r="K16" s="6">
        <f t="shared" si="1"/>
        <v>7371</v>
      </c>
      <c r="L16" s="6">
        <f t="shared" si="1"/>
        <v>7583</v>
      </c>
      <c r="M16" s="5">
        <v>7727</v>
      </c>
      <c r="Q16" s="5">
        <v>30557</v>
      </c>
      <c r="R16" s="5">
        <v>28913</v>
      </c>
      <c r="S16" s="5">
        <v>30117</v>
      </c>
      <c r="T16" s="5">
        <v>31686</v>
      </c>
    </row>
    <row r="17" spans="2:20" s="3" customFormat="1" x14ac:dyDescent="0.2">
      <c r="B17" s="3" t="s">
        <v>30</v>
      </c>
      <c r="C17" s="4"/>
      <c r="D17" s="4"/>
      <c r="E17" s="4">
        <v>2621</v>
      </c>
      <c r="F17" s="4">
        <v>2652</v>
      </c>
      <c r="G17" s="4">
        <v>2491</v>
      </c>
      <c r="H17" s="4">
        <v>2497</v>
      </c>
      <c r="I17" s="4">
        <v>2459</v>
      </c>
      <c r="J17" s="4">
        <v>2544</v>
      </c>
      <c r="K17" s="3">
        <v>2467</v>
      </c>
      <c r="L17" s="3">
        <v>2535</v>
      </c>
      <c r="M17" s="3">
        <v>2689</v>
      </c>
      <c r="Q17" s="3">
        <v>9155</v>
      </c>
      <c r="R17" s="3">
        <v>9424</v>
      </c>
      <c r="S17" s="3">
        <v>10483</v>
      </c>
      <c r="T17" s="3">
        <v>10145</v>
      </c>
    </row>
    <row r="18" spans="2:20" s="3" customFormat="1" x14ac:dyDescent="0.2">
      <c r="B18" s="3" t="s">
        <v>33</v>
      </c>
      <c r="C18" s="4"/>
      <c r="D18" s="4"/>
      <c r="E18" s="4">
        <f t="shared" ref="E18" si="2">+E16-E17</f>
        <v>5153</v>
      </c>
      <c r="F18" s="4">
        <f t="shared" ref="F18:I18" si="3">+F16-F17</f>
        <v>5535</v>
      </c>
      <c r="G18" s="4">
        <f t="shared" si="3"/>
        <v>5497</v>
      </c>
      <c r="H18" s="4">
        <f t="shared" si="3"/>
        <v>5350</v>
      </c>
      <c r="I18" s="4">
        <f t="shared" si="3"/>
        <v>5304</v>
      </c>
      <c r="J18" s="4">
        <f>+J16-J17</f>
        <v>5545</v>
      </c>
      <c r="K18" s="3">
        <f>K16-K17</f>
        <v>4904</v>
      </c>
      <c r="L18" s="3">
        <f>L16-L17</f>
        <v>5048</v>
      </c>
      <c r="M18" s="3">
        <f>M16-M17</f>
        <v>5038</v>
      </c>
      <c r="Q18" s="3">
        <f t="shared" ref="Q18" si="4">+Q16-Q17</f>
        <v>21402</v>
      </c>
      <c r="R18" s="3">
        <f t="shared" ref="R18" si="5">+R16-R17</f>
        <v>19489</v>
      </c>
      <c r="S18" s="3">
        <f>+S16-S17</f>
        <v>19634</v>
      </c>
      <c r="T18" s="3">
        <f>+T16-T17</f>
        <v>21541</v>
      </c>
    </row>
    <row r="19" spans="2:20" s="3" customFormat="1" x14ac:dyDescent="0.2">
      <c r="B19" s="3" t="s">
        <v>34</v>
      </c>
      <c r="C19" s="4"/>
      <c r="D19" s="4"/>
      <c r="E19" s="4">
        <v>2537</v>
      </c>
      <c r="F19" s="4">
        <v>2594</v>
      </c>
      <c r="G19" s="4">
        <v>2547</v>
      </c>
      <c r="H19" s="4">
        <v>2615</v>
      </c>
      <c r="I19" s="4">
        <v>2561</v>
      </c>
      <c r="J19" s="4">
        <v>2569</v>
      </c>
      <c r="K19" s="3">
        <v>2518</v>
      </c>
      <c r="L19" s="3">
        <v>2617</v>
      </c>
      <c r="M19" s="3">
        <v>2615</v>
      </c>
      <c r="Q19" s="3">
        <v>10418</v>
      </c>
      <c r="R19" s="3">
        <v>10109</v>
      </c>
      <c r="S19" s="3">
        <v>10148</v>
      </c>
      <c r="T19" s="3">
        <v>10292</v>
      </c>
    </row>
    <row r="20" spans="2:20" s="3" customFormat="1" x14ac:dyDescent="0.2">
      <c r="B20" s="3" t="s">
        <v>35</v>
      </c>
      <c r="C20" s="4"/>
      <c r="D20" s="4"/>
      <c r="E20" s="4">
        <v>601</v>
      </c>
      <c r="F20" s="4">
        <v>632</v>
      </c>
      <c r="G20" s="4">
        <v>436</v>
      </c>
      <c r="H20" s="4">
        <v>431</v>
      </c>
      <c r="I20" s="4">
        <v>668</v>
      </c>
      <c r="J20" s="4">
        <v>652</v>
      </c>
      <c r="K20" s="3">
        <v>678</v>
      </c>
      <c r="L20" s="3">
        <v>676</v>
      </c>
      <c r="M20" s="3">
        <v>688</v>
      </c>
      <c r="Q20" s="3">
        <v>2330</v>
      </c>
      <c r="R20" s="3">
        <v>2331</v>
      </c>
      <c r="S20" s="3">
        <v>2493</v>
      </c>
      <c r="T20" s="3">
        <v>2746</v>
      </c>
    </row>
    <row r="21" spans="2:20" s="3" customFormat="1" x14ac:dyDescent="0.2">
      <c r="B21" s="3" t="s">
        <v>31</v>
      </c>
      <c r="C21" s="4"/>
      <c r="D21" s="4"/>
      <c r="E21" s="4">
        <f t="shared" ref="E21" si="6">+E19+E20</f>
        <v>3138</v>
      </c>
      <c r="F21" s="4">
        <f t="shared" ref="F21:I21" si="7">+F19+F20</f>
        <v>3226</v>
      </c>
      <c r="G21" s="4">
        <f t="shared" si="7"/>
        <v>2983</v>
      </c>
      <c r="H21" s="4">
        <f t="shared" si="7"/>
        <v>3046</v>
      </c>
      <c r="I21" s="4">
        <f t="shared" si="7"/>
        <v>3229</v>
      </c>
      <c r="J21" s="4">
        <f>+J19+J20</f>
        <v>3221</v>
      </c>
      <c r="K21" s="4">
        <f>+K19+K20</f>
        <v>3196</v>
      </c>
      <c r="L21" s="4">
        <f>+L19+L20</f>
        <v>3293</v>
      </c>
      <c r="M21" s="3">
        <f>M19+M20</f>
        <v>3303</v>
      </c>
      <c r="Q21" s="3">
        <f t="shared" ref="Q21" si="8">+Q19+Q20</f>
        <v>12748</v>
      </c>
      <c r="R21" s="3">
        <f t="shared" ref="R21" si="9">+R19+R20</f>
        <v>12440</v>
      </c>
      <c r="S21" s="3">
        <f>+S19+S20</f>
        <v>12641</v>
      </c>
      <c r="T21" s="3">
        <f t="shared" ref="T21" si="10">+T19+T20</f>
        <v>13038</v>
      </c>
    </row>
    <row r="22" spans="2:20" s="3" customFormat="1" x14ac:dyDescent="0.2">
      <c r="B22" s="3" t="s">
        <v>32</v>
      </c>
      <c r="C22" s="4"/>
      <c r="D22" s="4"/>
      <c r="E22" s="4">
        <f t="shared" ref="E22" si="11">+E18-E21</f>
        <v>2015</v>
      </c>
      <c r="F22" s="4">
        <f t="shared" ref="F22:I22" si="12">+F18-F21</f>
        <v>2309</v>
      </c>
      <c r="G22" s="4">
        <f>+G18-G21</f>
        <v>2514</v>
      </c>
      <c r="H22" s="4">
        <f t="shared" si="12"/>
        <v>2304</v>
      </c>
      <c r="I22" s="4">
        <f t="shared" si="12"/>
        <v>2075</v>
      </c>
      <c r="J22" s="4">
        <f>+J18-J21</f>
        <v>2324</v>
      </c>
      <c r="K22" s="4">
        <f>+K18-K21</f>
        <v>1708</v>
      </c>
      <c r="L22" s="4">
        <f>+L18-L21</f>
        <v>1755</v>
      </c>
      <c r="M22" s="3">
        <f>M18-M21</f>
        <v>1735</v>
      </c>
      <c r="Q22" s="3">
        <f t="shared" ref="Q22" si="13">+Q18-Q21</f>
        <v>8654</v>
      </c>
      <c r="R22" s="3">
        <f t="shared" ref="R22" si="14">+R18-R21</f>
        <v>7049</v>
      </c>
      <c r="S22" s="3">
        <f>+S18-S21</f>
        <v>6993</v>
      </c>
      <c r="T22" s="3">
        <f t="shared" ref="T22" si="15">+T18-T21</f>
        <v>8503</v>
      </c>
    </row>
    <row r="23" spans="2:20" s="3" customFormat="1" x14ac:dyDescent="0.2">
      <c r="B23" s="3" t="s">
        <v>48</v>
      </c>
      <c r="C23" s="4"/>
      <c r="D23" s="4"/>
      <c r="E23" s="4">
        <f>-82+86-143</f>
        <v>-139</v>
      </c>
      <c r="F23" s="4">
        <f>-198+102-142</f>
        <v>-238</v>
      </c>
      <c r="G23" s="4">
        <f>-137+111</f>
        <v>-26</v>
      </c>
      <c r="H23" s="4">
        <f>66-136</f>
        <v>-70</v>
      </c>
      <c r="I23" s="4">
        <f>63+67-137</f>
        <v>-7</v>
      </c>
      <c r="J23" s="4">
        <f>-143+74-143</f>
        <v>-212</v>
      </c>
      <c r="K23" s="3">
        <f>83-164-35</f>
        <v>-116</v>
      </c>
      <c r="L23" s="3">
        <f>109-118</f>
        <v>-9</v>
      </c>
      <c r="M23" s="3">
        <f>-167+149</f>
        <v>-18</v>
      </c>
      <c r="Q23" s="3">
        <f>-258+373-1444</f>
        <v>-1329</v>
      </c>
      <c r="R23" s="3">
        <f>356-1092-41</f>
        <v>-777</v>
      </c>
      <c r="S23" s="3">
        <f>-315-336+925</f>
        <v>274</v>
      </c>
      <c r="T23" s="3">
        <f>-862-318+553</f>
        <v>-627</v>
      </c>
    </row>
    <row r="24" spans="2:20" s="3" customFormat="1" x14ac:dyDescent="0.2">
      <c r="B24" s="3" t="s">
        <v>40</v>
      </c>
      <c r="C24" s="4"/>
      <c r="D24" s="4"/>
      <c r="E24" s="4">
        <f t="shared" ref="E24" si="16">+E22+E23</f>
        <v>1876</v>
      </c>
      <c r="F24" s="4">
        <f t="shared" ref="F24:I24" si="17">+F22+F23</f>
        <v>2071</v>
      </c>
      <c r="G24" s="4">
        <f>+G22+G23</f>
        <v>2488</v>
      </c>
      <c r="H24" s="4">
        <f t="shared" si="17"/>
        <v>2234</v>
      </c>
      <c r="I24" s="4">
        <f t="shared" si="17"/>
        <v>2068</v>
      </c>
      <c r="J24" s="4">
        <f>+J22+J23</f>
        <v>2112</v>
      </c>
      <c r="K24" s="4">
        <f>+K22+K23</f>
        <v>1592</v>
      </c>
      <c r="L24" s="4">
        <f>+L22+L23</f>
        <v>1746</v>
      </c>
      <c r="M24" s="3">
        <f>M22+M23</f>
        <v>1717</v>
      </c>
      <c r="Q24" s="3">
        <f t="shared" ref="Q24" si="18">+Q22+Q23</f>
        <v>7325</v>
      </c>
      <c r="R24" s="3">
        <f t="shared" ref="R24" si="19">+R22+R23</f>
        <v>6272</v>
      </c>
      <c r="S24" s="3">
        <f t="shared" ref="S24" si="20">+S22+S23</f>
        <v>7267</v>
      </c>
      <c r="T24" s="3">
        <f>+T22+T23</f>
        <v>7876</v>
      </c>
    </row>
    <row r="25" spans="2:20" s="3" customFormat="1" x14ac:dyDescent="0.2">
      <c r="B25" s="3" t="s">
        <v>39</v>
      </c>
      <c r="C25" s="4"/>
      <c r="D25" s="4"/>
      <c r="E25" s="4">
        <f>-59-9</f>
        <v>-68</v>
      </c>
      <c r="F25" s="4">
        <v>206</v>
      </c>
      <c r="G25" s="4">
        <v>64</v>
      </c>
      <c r="H25" s="4">
        <v>176</v>
      </c>
      <c r="I25" s="4">
        <v>110</v>
      </c>
      <c r="J25" s="4">
        <v>116</v>
      </c>
      <c r="K25" s="3">
        <v>112</v>
      </c>
      <c r="L25" s="3">
        <v>0</v>
      </c>
      <c r="M25" s="3">
        <v>146</v>
      </c>
      <c r="Q25" s="3">
        <v>547</v>
      </c>
      <c r="R25" s="3">
        <f>751+17</f>
        <v>768</v>
      </c>
      <c r="S25" s="3">
        <f>265+24</f>
        <v>289</v>
      </c>
      <c r="T25" s="3">
        <f>456+22</f>
        <v>478</v>
      </c>
    </row>
    <row r="26" spans="2:20" s="3" customFormat="1" x14ac:dyDescent="0.2">
      <c r="B26" s="3" t="s">
        <v>38</v>
      </c>
      <c r="C26" s="4"/>
      <c r="D26" s="4"/>
      <c r="E26" s="4">
        <f t="shared" ref="E26" si="21">+E24-E25</f>
        <v>1944</v>
      </c>
      <c r="F26" s="4">
        <f t="shared" ref="F26:I26" si="22">+F24-F25</f>
        <v>1865</v>
      </c>
      <c r="G26" s="4">
        <f t="shared" si="22"/>
        <v>2424</v>
      </c>
      <c r="H26" s="4">
        <f t="shared" si="22"/>
        <v>2058</v>
      </c>
      <c r="I26" s="4">
        <f t="shared" si="22"/>
        <v>1958</v>
      </c>
      <c r="J26" s="4">
        <f>+J24-J25</f>
        <v>1996</v>
      </c>
      <c r="K26" s="4">
        <f>+K24-K25</f>
        <v>1480</v>
      </c>
      <c r="L26" s="4">
        <f>+L24-L25</f>
        <v>1746</v>
      </c>
      <c r="M26" s="3">
        <f>M24-M25</f>
        <v>1571</v>
      </c>
      <c r="Q26" s="3">
        <f t="shared" ref="Q26" si="23">+Q24-Q25</f>
        <v>6778</v>
      </c>
      <c r="R26" s="3">
        <f t="shared" ref="R26" si="24">+R24-R25</f>
        <v>5504</v>
      </c>
      <c r="S26" s="3">
        <f t="shared" ref="S26" si="25">+S24-S25</f>
        <v>6978</v>
      </c>
      <c r="T26" s="3">
        <f>+T24-T25</f>
        <v>7398</v>
      </c>
    </row>
    <row r="27" spans="2:20" x14ac:dyDescent="0.2">
      <c r="B27" t="s">
        <v>37</v>
      </c>
      <c r="E27" s="8">
        <f t="shared" ref="E27" si="26">+E26/E28</f>
        <v>1.4336283185840708</v>
      </c>
      <c r="F27" s="8">
        <f t="shared" ref="F27:I27" si="27">+F26/F28</f>
        <v>1.3729387514723204</v>
      </c>
      <c r="G27" s="8">
        <f t="shared" si="27"/>
        <v>1.7870834562076083</v>
      </c>
      <c r="H27" s="8">
        <f t="shared" si="27"/>
        <v>1.5184829926953443</v>
      </c>
      <c r="I27" s="8">
        <f t="shared" si="27"/>
        <v>1.4500481374509369</v>
      </c>
      <c r="J27" s="8">
        <f>+J26/J28</f>
        <v>1.4841252137705405</v>
      </c>
      <c r="K27" s="8">
        <f>+K26/K28</f>
        <v>1.1090295991007868</v>
      </c>
      <c r="L27" s="8">
        <f>+L26/L28</f>
        <v>1.3108108108108107</v>
      </c>
      <c r="M27" s="1">
        <f>M26/M28</f>
        <v>1.1794294294294294</v>
      </c>
      <c r="Q27" s="1">
        <f t="shared" ref="Q27" si="28">Q26/Q28</f>
        <v>4.9930018416206261</v>
      </c>
      <c r="R27" s="1">
        <f t="shared" ref="R27" si="29">R26/R28</f>
        <v>4.0737177114943384</v>
      </c>
      <c r="S27" s="1">
        <f t="shared" ref="S27" si="30">S26/S28</f>
        <v>5.153618906942393</v>
      </c>
      <c r="T27" s="1">
        <f>T26/T28</f>
        <v>5.4743229243747225</v>
      </c>
    </row>
    <row r="28" spans="2:20" s="3" customFormat="1" x14ac:dyDescent="0.2">
      <c r="B28" s="3" t="s">
        <v>36</v>
      </c>
      <c r="C28" s="4"/>
      <c r="D28" s="4"/>
      <c r="E28" s="4">
        <v>1356</v>
      </c>
      <c r="F28" s="4">
        <v>1358.4</v>
      </c>
      <c r="G28" s="4">
        <v>1356.4</v>
      </c>
      <c r="H28" s="4">
        <v>1355.3</v>
      </c>
      <c r="I28" s="4">
        <v>1350.3</v>
      </c>
      <c r="J28" s="4">
        <v>1344.9</v>
      </c>
      <c r="K28" s="3">
        <v>1334.5</v>
      </c>
      <c r="L28" s="3">
        <v>1332</v>
      </c>
      <c r="M28" s="3">
        <v>1332</v>
      </c>
      <c r="Q28" s="3">
        <v>1357.5</v>
      </c>
      <c r="R28" s="3">
        <v>1351.1</v>
      </c>
      <c r="S28" s="3">
        <v>1354</v>
      </c>
      <c r="T28" s="3">
        <v>1351.4</v>
      </c>
    </row>
    <row r="33" spans="2:20" x14ac:dyDescent="0.2">
      <c r="B33" t="s">
        <v>29</v>
      </c>
      <c r="I33" s="7">
        <f t="shared" ref="I33" si="31">I16/E16-1</f>
        <v>-1.4149729868793148E-3</v>
      </c>
      <c r="J33" s="7">
        <f>J16/F16-1</f>
        <v>-1.1970196653230736E-2</v>
      </c>
      <c r="K33" s="7">
        <f>K16/G16-1</f>
        <v>-7.7240861291937857E-2</v>
      </c>
      <c r="L33" s="7">
        <f>L16/H16-1</f>
        <v>-3.3643430610424407E-2</v>
      </c>
      <c r="M33" s="7">
        <f>M16/I16-1</f>
        <v>-4.6373824552363718E-3</v>
      </c>
      <c r="N33" s="7"/>
      <c r="R33" s="9">
        <f t="shared" ref="R33:S33" si="32">+R16/Q16-1</f>
        <v>-5.380109303923819E-2</v>
      </c>
      <c r="S33" s="9">
        <f t="shared" si="32"/>
        <v>4.1642167882959269E-2</v>
      </c>
      <c r="T33" s="9">
        <f>+T16/S16-1</f>
        <v>5.2096822392668551E-2</v>
      </c>
    </row>
    <row r="34" spans="2:20" x14ac:dyDescent="0.2">
      <c r="B34" t="s">
        <v>49</v>
      </c>
      <c r="E34" s="7">
        <f t="shared" ref="E34:I34" si="33">+E18/E16</f>
        <v>0.66285052739902239</v>
      </c>
      <c r="F34" s="7">
        <f t="shared" si="33"/>
        <v>0.67607182117991937</v>
      </c>
      <c r="G34" s="7">
        <f t="shared" si="33"/>
        <v>0.68815723585378064</v>
      </c>
      <c r="H34" s="7">
        <f t="shared" si="33"/>
        <v>0.6817892188097362</v>
      </c>
      <c r="I34" s="7">
        <f t="shared" si="33"/>
        <v>0.68324101507149293</v>
      </c>
      <c r="J34" s="7">
        <f>+J18/J16</f>
        <v>0.68549882556558284</v>
      </c>
      <c r="K34" s="7">
        <f>+K18/K16</f>
        <v>0.66530999864333196</v>
      </c>
      <c r="L34" s="7">
        <f>+L18/L16</f>
        <v>0.66569959119082156</v>
      </c>
      <c r="M34" s="7">
        <f>+M18/M16</f>
        <v>0.65199948233467064</v>
      </c>
      <c r="N34" s="7"/>
      <c r="Q34" s="7">
        <f t="shared" ref="Q34:T34" si="34">+Q18/Q16</f>
        <v>0.70039598128088487</v>
      </c>
      <c r="R34" s="7">
        <f t="shared" si="34"/>
        <v>0.67405665271677095</v>
      </c>
      <c r="S34" s="7">
        <f t="shared" si="34"/>
        <v>0.6519241624331773</v>
      </c>
      <c r="T34" s="7">
        <f t="shared" si="34"/>
        <v>0.67982705295714196</v>
      </c>
    </row>
    <row r="37" spans="2:20" s="3" customFormat="1" x14ac:dyDescent="0.2">
      <c r="B37" s="3" t="s">
        <v>51</v>
      </c>
      <c r="C37" s="4"/>
      <c r="D37" s="4"/>
      <c r="E37" s="4"/>
      <c r="F37" s="4"/>
      <c r="G37" s="4"/>
      <c r="H37" s="4"/>
      <c r="I37" s="4"/>
      <c r="J37" s="4"/>
      <c r="P37" s="3">
        <v>4684</v>
      </c>
      <c r="Q37" s="3">
        <v>7007</v>
      </c>
      <c r="R37" s="3">
        <v>7234</v>
      </c>
      <c r="S37" s="3">
        <v>6240</v>
      </c>
      <c r="T37" s="3">
        <v>7346</v>
      </c>
    </row>
    <row r="38" spans="2:20" x14ac:dyDescent="0.2">
      <c r="B38" t="s">
        <v>52</v>
      </c>
      <c r="P38" s="3">
        <v>1068</v>
      </c>
      <c r="Q38" s="3">
        <v>1134</v>
      </c>
      <c r="R38" s="3">
        <v>1213</v>
      </c>
      <c r="S38" s="3">
        <v>1355</v>
      </c>
      <c r="T38" s="3">
        <v>1368</v>
      </c>
    </row>
    <row r="39" spans="2:20" x14ac:dyDescent="0.2">
      <c r="B39" t="s">
        <v>51</v>
      </c>
      <c r="P39" s="3">
        <f t="shared" ref="P39" si="35">+P37-P38</f>
        <v>3616</v>
      </c>
      <c r="Q39" s="3">
        <f t="shared" ref="Q39" si="36">+Q37-Q38</f>
        <v>5873</v>
      </c>
      <c r="R39" s="3">
        <f t="shared" ref="R39:S39" si="37">+R37-R38</f>
        <v>6021</v>
      </c>
      <c r="S39" s="3">
        <f t="shared" si="37"/>
        <v>4885</v>
      </c>
      <c r="T39" s="3">
        <f>+T37-T38</f>
        <v>5978</v>
      </c>
    </row>
  </sheetData>
  <phoneticPr fontId="2" type="noConversion"/>
  <hyperlinks>
    <hyperlink ref="A1" location="Main!A1" display="Main" xr:uid="{90480B88-3CC0-44D2-A4AE-B92D3A2B01C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2022-07-19T12:40:47Z</dcterms:created>
  <dcterms:modified xsi:type="dcterms:W3CDTF">2025-10-14T13:20:22Z</dcterms:modified>
</cp:coreProperties>
</file>