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3D4E0F7-FE84-498C-817A-DF2B1048A1A2}" xr6:coauthVersionLast="47" xr6:coauthVersionMax="47" xr10:uidLastSave="{00000000-0000-0000-0000-000000000000}"/>
  <bookViews>
    <workbookView xWindow="1470" yWindow="1470" windowWidth="18075" windowHeight="16020" activeTab="1" xr2:uid="{648A922D-0C8D-4625-A35E-4B992C513E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2" l="1"/>
  <c r="X23" i="2"/>
  <c r="W23" i="2"/>
  <c r="V23" i="2"/>
  <c r="U23" i="2"/>
  <c r="T23" i="2"/>
  <c r="S23" i="2"/>
  <c r="T13" i="2"/>
  <c r="S13" i="2"/>
  <c r="R13" i="2"/>
  <c r="S22" i="2"/>
  <c r="R22" i="2"/>
  <c r="R5" i="2"/>
  <c r="R7" i="2" s="1"/>
  <c r="R9" i="2" s="1"/>
  <c r="R11" i="2" s="1"/>
  <c r="R12" i="2" s="1"/>
  <c r="U13" i="2"/>
  <c r="T17" i="2"/>
  <c r="S17" i="2"/>
  <c r="R17" i="2"/>
  <c r="Q12" i="2"/>
  <c r="Q11" i="2"/>
  <c r="Q9" i="2"/>
  <c r="S7" i="2"/>
  <c r="S9" i="2" s="1"/>
  <c r="S11" i="2" s="1"/>
  <c r="S12" i="2" s="1"/>
  <c r="Q7" i="2"/>
  <c r="S5" i="2"/>
  <c r="T22" i="2"/>
  <c r="U17" i="2"/>
  <c r="T5" i="2"/>
  <c r="T7" i="2" s="1"/>
  <c r="T9" i="2" s="1"/>
  <c r="T11" i="2" s="1"/>
  <c r="T12" i="2" s="1"/>
  <c r="U22" i="2"/>
  <c r="V17" i="2"/>
  <c r="U5" i="2"/>
  <c r="U7" i="2" s="1"/>
  <c r="U9" i="2" s="1"/>
  <c r="U11" i="2" s="1"/>
  <c r="U12" i="2" s="1"/>
  <c r="V22" i="2"/>
  <c r="W17" i="2"/>
  <c r="W5" i="2"/>
  <c r="V5" i="2"/>
  <c r="X6" i="2"/>
  <c r="AA17" i="2"/>
  <c r="Z2" i="2"/>
  <c r="AA2" i="2" s="1"/>
  <c r="AB2" i="2" s="1"/>
  <c r="AC2" i="2" s="1"/>
  <c r="AD2" i="2" s="1"/>
  <c r="AE2" i="2" s="1"/>
  <c r="H21" i="2"/>
  <c r="I21" i="2" s="1"/>
  <c r="J21" i="2" s="1"/>
  <c r="Y22" i="2"/>
  <c r="X22" i="2"/>
  <c r="W22" i="2"/>
  <c r="Y13" i="2"/>
  <c r="Y10" i="2"/>
  <c r="Y8" i="2"/>
  <c r="Y6" i="2"/>
  <c r="Y4" i="2"/>
  <c r="Y3" i="2"/>
  <c r="Y5" i="2" s="1"/>
  <c r="X3" i="2"/>
  <c r="X5" i="2" s="1"/>
  <c r="C22" i="2"/>
  <c r="C5" i="2"/>
  <c r="C7" i="2" s="1"/>
  <c r="C9" i="2" s="1"/>
  <c r="C11" i="2" s="1"/>
  <c r="C12" i="2" s="1"/>
  <c r="D21" i="2"/>
  <c r="D20" i="2"/>
  <c r="G22" i="2"/>
  <c r="H20" i="2"/>
  <c r="I20" i="2" s="1"/>
  <c r="J20" i="2" s="1"/>
  <c r="H17" i="2"/>
  <c r="K17" i="2"/>
  <c r="J17" i="2"/>
  <c r="D5" i="2"/>
  <c r="D7" i="2" s="1"/>
  <c r="D9" i="2" s="1"/>
  <c r="D11" i="2" s="1"/>
  <c r="D12" i="2" s="1"/>
  <c r="F5" i="2"/>
  <c r="F7" i="2" s="1"/>
  <c r="F9" i="2" s="1"/>
  <c r="F11" i="2" s="1"/>
  <c r="F12" i="2" s="1"/>
  <c r="J5" i="2"/>
  <c r="J7" i="2" s="1"/>
  <c r="J9" i="2" s="1"/>
  <c r="J11" i="2" s="1"/>
  <c r="J12" i="2" s="1"/>
  <c r="K5" i="2"/>
  <c r="K7" i="2" s="1"/>
  <c r="K9" i="2" s="1"/>
  <c r="K11" i="2" s="1"/>
  <c r="K12" i="2" s="1"/>
  <c r="M5" i="1"/>
  <c r="M4" i="1"/>
  <c r="E22" i="2"/>
  <c r="I17" i="2"/>
  <c r="H5" i="2"/>
  <c r="H7" i="2" s="1"/>
  <c r="H9" i="2" s="1"/>
  <c r="H11" i="2" s="1"/>
  <c r="H12" i="2" s="1"/>
  <c r="G5" i="2"/>
  <c r="G7" i="2" s="1"/>
  <c r="G9" i="2" s="1"/>
  <c r="G11" i="2" s="1"/>
  <c r="G12" i="2" s="1"/>
  <c r="E5" i="2"/>
  <c r="E7" i="2" s="1"/>
  <c r="E9" i="2" s="1"/>
  <c r="E11" i="2" s="1"/>
  <c r="E12" i="2" s="1"/>
  <c r="I5" i="2"/>
  <c r="I7" i="2" s="1"/>
  <c r="I9" i="2" s="1"/>
  <c r="I11" i="2" s="1"/>
  <c r="I12" i="2" s="1"/>
  <c r="D22" i="2" l="1"/>
  <c r="Y7" i="2"/>
  <c r="Y9" i="2" s="1"/>
  <c r="Y11" i="2"/>
  <c r="Y12" i="2" s="1"/>
  <c r="J22" i="2"/>
  <c r="W7" i="2"/>
  <c r="W9" i="2" s="1"/>
  <c r="W11" i="2" s="1"/>
  <c r="W12" i="2" s="1"/>
  <c r="Y17" i="2"/>
  <c r="Z17" i="2"/>
  <c r="X17" i="2"/>
  <c r="X7" i="2"/>
  <c r="X9" i="2" s="1"/>
  <c r="X11" i="2" s="1"/>
  <c r="X12" i="2" s="1"/>
  <c r="V7" i="2"/>
  <c r="V9" i="2" s="1"/>
  <c r="V11" i="2" s="1"/>
  <c r="V12" i="2" s="1"/>
  <c r="H22" i="2"/>
  <c r="I22" i="2"/>
  <c r="M7" i="1"/>
</calcChain>
</file>

<file path=xl/sharedStrings.xml><?xml version="1.0" encoding="utf-8"?>
<sst xmlns="http://schemas.openxmlformats.org/spreadsheetml/2006/main" count="37" uniqueCount="33">
  <si>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</si>
  <si>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</si>
  <si>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</si>
  <si>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</si>
  <si>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</si>
  <si>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</si>
  <si>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</si>
  <si>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</si>
  <si>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</si>
  <si>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</si>
  <si>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</si>
  <si>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</si>
  <si>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</si>
  <si>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</si>
  <si>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</si>
  <si>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</si>
  <si>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Revenue y/y</t>
  </si>
  <si>
    <t>COGS</t>
  </si>
  <si>
    <t>Operating Income</t>
  </si>
  <si>
    <t>Operating Expenses</t>
  </si>
  <si>
    <t>Gross Profit</t>
  </si>
  <si>
    <t>Pretax Income</t>
  </si>
  <si>
    <t>Net Income</t>
  </si>
  <si>
    <t>EPS</t>
  </si>
  <si>
    <t>Taxes</t>
  </si>
  <si>
    <t>Interest Income</t>
  </si>
  <si>
    <t>CFFO</t>
  </si>
  <si>
    <t>FCF</t>
  </si>
  <si>
    <t>CapEx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</si>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</sst>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2F031BE-47B8-4BA4-990E-9B1EBA26EA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27214</xdr:colOff>
      <xdr:row>0</xdr:row>
      <xdr:rowOff>54429</xdr:rowOff>
    </xdr:from>
    <xdr:to>
      <xdr:col>11</xdr:col>
      <xdr:colOff>27214</xdr:colOff>
      <xdr:row>29</xdr:row>
      <xdr:rowOff>27214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4985FB-5BB0-94B3-E5FA-4444A75982C2}"/>
            </a:ext>
          </a:extLst>
        </xdr:cNvPr>
        <xdr:cNvCxnSpPr/>
      </xdr:nvCxnSpPr>
      <xdr:spPr>
        <a:xfrm>
          <a:off x="7353300" y="54429"/>
          <a:ext cx="0" cy="47080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C36F-AD3D-4797-937D-7E5A711D4365}">
  <dimension ref="L2:N7"/>
  <sheetViews>
    <sheetView zoomScaleNormal="100" workbookViewId="0">
      <selection activeCell="N7" sqref="N7"/>
    </sheetView>
  </sheetViews>
  <sheetFormatPr defaultRowHeight="12.75" x14ac:dyDescent="0.2"/>
  <sheetData>
    <row r="2" spans="12:14" x14ac:dyDescent="0.2">
      <c r="L2" t="s">
        <v>0</v>
      </c>
      <c r="M2" s="1">
        <v>48.17</v>
      </c>
    </row>
    <row r="3" spans="12:14" x14ac:dyDescent="0.2">
      <c r="L3" t="s">
        <v>1</v>
      </c>
      <c r="M3">
        <v>983</v>
      </c>
      <c r="N3" s="2" t="s">
        <v>13</v>
      </c>
    </row>
    <row r="4" spans="12:14" x14ac:dyDescent="0.2">
      <c r="L4" t="s">
        <v>2</v>
      </c>
      <c r="M4" s="4">
        <f>+M2*M3</f>
        <v>47351.11</v>
      </c>
    </row>
    <row r="5" spans="12:14" x14ac:dyDescent="0.2">
      <c r="L5" t="s">
        <v>3</v>
      </c>
      <c r="M5" s="4">
        <f>1625.339+1006.788</f>
        <v>2632.127</v>
      </c>
      <c r="N5" s="2" t="s">
        <v>13</v>
      </c>
    </row>
    <row r="6" spans="12:14" x14ac:dyDescent="0.2">
      <c r="L6" t="s">
        <v>4</v>
      </c>
      <c r="M6" s="4">
        <v>748.84199999999998</v>
      </c>
      <c r="N6" s="2" t="s">
        <v>13</v>
      </c>
    </row>
    <row r="7" spans="12:14" x14ac:dyDescent="0.2">
      <c r="L7" t="s">
        <v>5</v>
      </c>
      <c r="M7" s="4">
        <f>+M4-M5+M6</f>
        <v>45467.824999999997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E9F-9163-417D-99D5-840C8108515A}">
  <dimension ref="A1:AE23"/>
  <sheetViews>
    <sheetView tabSelected="1" zoomScale="130" zoomScaleNormal="13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Y23" sqref="Y23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</cols>
  <sheetData>
    <row r="1" spans="1:31" x14ac:dyDescent="0.2">
      <c r="A1" t="s">
        <v>6</v>
      </c>
    </row>
    <row r="2" spans="1:31" x14ac:dyDescent="0.2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29</v>
      </c>
      <c r="L2" s="2" t="s">
        <v>30</v>
      </c>
      <c r="M2" s="2" t="s">
        <v>31</v>
      </c>
      <c r="N2" s="2" t="s">
        <v>32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f t="shared" ref="Z2:AE2" si="0">+Y2+1</f>
        <v>2025</v>
      </c>
      <c r="AA2">
        <f t="shared" si="0"/>
        <v>2026</v>
      </c>
      <c r="AB2">
        <f t="shared" si="0"/>
        <v>2027</v>
      </c>
      <c r="AC2">
        <f t="shared" si="0"/>
        <v>2028</v>
      </c>
      <c r="AD2">
        <f t="shared" si="0"/>
        <v>2029</v>
      </c>
      <c r="AE2">
        <f t="shared" si="0"/>
        <v>2030</v>
      </c>
    </row>
    <row r="3" spans="1:31" s="7" customFormat="1" x14ac:dyDescent="0.2">
      <c r="B3" s="7" t="s">
        <v>15</v>
      </c>
      <c r="C3" s="8">
        <v>1698.93</v>
      </c>
      <c r="D3" s="8">
        <v>1854.961</v>
      </c>
      <c r="E3" s="8">
        <v>1856.028</v>
      </c>
      <c r="F3" s="8">
        <v>1730.1079999999999</v>
      </c>
      <c r="G3" s="8">
        <v>1899.098</v>
      </c>
      <c r="H3" s="8">
        <v>1900.597</v>
      </c>
      <c r="I3" s="8">
        <v>1880.973</v>
      </c>
      <c r="J3" s="8">
        <v>1812.0409999999999</v>
      </c>
      <c r="K3" s="7">
        <v>1854.558</v>
      </c>
      <c r="Q3" s="7">
        <v>3049.393</v>
      </c>
      <c r="R3" s="7">
        <v>3369.0450000000001</v>
      </c>
      <c r="S3" s="7">
        <v>3807.183</v>
      </c>
      <c r="T3" s="7">
        <v>4200.8190000000004</v>
      </c>
      <c r="U3" s="7">
        <v>4598.6379999999999</v>
      </c>
      <c r="V3" s="7">
        <v>5541.3519999999999</v>
      </c>
      <c r="W3" s="7">
        <v>6311.05</v>
      </c>
      <c r="X3" s="7">
        <f>SUM(C3:F3)</f>
        <v>7140.027</v>
      </c>
      <c r="Y3" s="7">
        <f>SUM(G3:J3)</f>
        <v>7492.7089999999998</v>
      </c>
      <c r="Z3" s="7">
        <v>7940</v>
      </c>
      <c r="AA3" s="7">
        <v>8570</v>
      </c>
    </row>
    <row r="4" spans="1:31" s="4" customFormat="1" x14ac:dyDescent="0.2">
      <c r="B4" s="4" t="s">
        <v>17</v>
      </c>
      <c r="C4" s="5">
        <v>801.08100000000002</v>
      </c>
      <c r="D4" s="5">
        <v>880.73900000000003</v>
      </c>
      <c r="E4" s="5">
        <v>872.26499999999999</v>
      </c>
      <c r="F4" s="5">
        <v>791.73599999999999</v>
      </c>
      <c r="G4" s="5">
        <v>871.96900000000005</v>
      </c>
      <c r="H4" s="5">
        <v>881.09100000000001</v>
      </c>
      <c r="I4" s="5">
        <v>881.17399999999998</v>
      </c>
      <c r="J4" s="5">
        <v>809.596</v>
      </c>
      <c r="K4" s="4">
        <v>806.596</v>
      </c>
      <c r="R4" s="4">
        <v>1231.355</v>
      </c>
      <c r="S4" s="4">
        <v>1511.808</v>
      </c>
      <c r="T4" s="4">
        <v>1682.2339999999999</v>
      </c>
      <c r="U4" s="4">
        <v>1874.758</v>
      </c>
      <c r="V4" s="4">
        <v>2432.8389999999999</v>
      </c>
      <c r="W4" s="4">
        <v>3136.4830000000002</v>
      </c>
      <c r="X4" s="4">
        <v>3345.8209999999999</v>
      </c>
      <c r="Y4" s="4">
        <f>SUM(G4:J4)</f>
        <v>3443.83</v>
      </c>
    </row>
    <row r="5" spans="1:31" s="4" customFormat="1" x14ac:dyDescent="0.2">
      <c r="B5" s="4" t="s">
        <v>20</v>
      </c>
      <c r="C5" s="5">
        <f t="shared" ref="C5" si="1">+C3-C4</f>
        <v>897.84900000000005</v>
      </c>
      <c r="D5" s="5">
        <f t="shared" ref="D5" si="2">+D3-D4</f>
        <v>974.22199999999998</v>
      </c>
      <c r="E5" s="5">
        <f t="shared" ref="E5:H5" si="3">+E3-E4</f>
        <v>983.76300000000003</v>
      </c>
      <c r="F5" s="5">
        <f t="shared" ref="F5" si="4">+F3-F4</f>
        <v>938.37199999999996</v>
      </c>
      <c r="G5" s="5">
        <f t="shared" si="3"/>
        <v>1027.1289999999999</v>
      </c>
      <c r="H5" s="5">
        <f t="shared" si="3"/>
        <v>1019.506</v>
      </c>
      <c r="I5" s="5">
        <f>+I3-I4</f>
        <v>999.79899999999998</v>
      </c>
      <c r="J5" s="5">
        <f>+J3-J4</f>
        <v>1002.4449999999999</v>
      </c>
      <c r="K5" s="4">
        <f>+K3-K4</f>
        <v>1047.962</v>
      </c>
      <c r="R5" s="4">
        <f>+R3-R4</f>
        <v>2137.69</v>
      </c>
      <c r="S5" s="4">
        <f>+S3-S4</f>
        <v>2295.375</v>
      </c>
      <c r="T5" s="4">
        <f>+T3-T4</f>
        <v>2518.5850000000005</v>
      </c>
      <c r="U5" s="4">
        <f t="shared" ref="U5:X5" si="5">+U3-U4</f>
        <v>2723.88</v>
      </c>
      <c r="V5" s="4">
        <f t="shared" si="5"/>
        <v>3108.5129999999999</v>
      </c>
      <c r="W5" s="4">
        <f t="shared" si="5"/>
        <v>3174.567</v>
      </c>
      <c r="X5" s="4">
        <f t="shared" si="5"/>
        <v>3794.2060000000001</v>
      </c>
      <c r="Y5" s="4">
        <f>+Y3-Y4</f>
        <v>4048.8789999999999</v>
      </c>
    </row>
    <row r="6" spans="1:31" s="4" customFormat="1" x14ac:dyDescent="0.2">
      <c r="B6" s="4" t="s">
        <v>19</v>
      </c>
      <c r="C6" s="5">
        <v>412.78500000000003</v>
      </c>
      <c r="D6" s="5">
        <v>450.41699999999997</v>
      </c>
      <c r="E6" s="5">
        <v>473.23599999999999</v>
      </c>
      <c r="F6" s="5">
        <v>504.41399999999999</v>
      </c>
      <c r="G6" s="5">
        <v>485.13799999999998</v>
      </c>
      <c r="H6" s="5">
        <v>492.34300000000002</v>
      </c>
      <c r="I6" s="5">
        <v>519.88300000000004</v>
      </c>
      <c r="J6" s="5">
        <v>621.221</v>
      </c>
      <c r="K6" s="5">
        <v>478.21699999999998</v>
      </c>
      <c r="R6" s="4">
        <v>938.90300000000002</v>
      </c>
      <c r="S6" s="4">
        <v>1011.756</v>
      </c>
      <c r="T6" s="4">
        <v>1115.646</v>
      </c>
      <c r="U6" s="4">
        <v>1090.7270000000001</v>
      </c>
      <c r="V6" s="4">
        <v>1311.046</v>
      </c>
      <c r="W6" s="4">
        <v>1589.846</v>
      </c>
      <c r="X6" s="4">
        <f t="shared" ref="X6" si="6">SUM(F6:I6)</f>
        <v>2001.778</v>
      </c>
      <c r="Y6" s="4">
        <f>SUM(G6:J6)</f>
        <v>2118.585</v>
      </c>
    </row>
    <row r="7" spans="1:31" s="4" customFormat="1" x14ac:dyDescent="0.2">
      <c r="B7" s="4" t="s">
        <v>18</v>
      </c>
      <c r="C7" s="5">
        <f t="shared" ref="C7" si="7">+C5-C6</f>
        <v>485.06400000000002</v>
      </c>
      <c r="D7" s="5">
        <f t="shared" ref="D7" si="8">+D5-D6</f>
        <v>523.80500000000006</v>
      </c>
      <c r="E7" s="5">
        <f t="shared" ref="E7:H7" si="9">+E5-E6</f>
        <v>510.52700000000004</v>
      </c>
      <c r="F7" s="5">
        <f t="shared" ref="F7" si="10">+F5-F6</f>
        <v>433.95799999999997</v>
      </c>
      <c r="G7" s="5">
        <f t="shared" si="9"/>
        <v>541.99099999999999</v>
      </c>
      <c r="H7" s="5">
        <f t="shared" si="9"/>
        <v>527.16300000000001</v>
      </c>
      <c r="I7" s="5">
        <f>+I5-I6</f>
        <v>479.91599999999994</v>
      </c>
      <c r="J7" s="5">
        <f>+J5-J6</f>
        <v>381.22399999999993</v>
      </c>
      <c r="K7" s="5">
        <f t="shared" ref="K7" si="11">+K5-K6</f>
        <v>569.745</v>
      </c>
      <c r="Q7" s="4">
        <f t="shared" ref="Q7" si="12">+Q5-Q6</f>
        <v>0</v>
      </c>
      <c r="R7" s="4">
        <f t="shared" ref="R7" si="13">+R5-R6</f>
        <v>1198.787</v>
      </c>
      <c r="S7" s="4">
        <f t="shared" ref="S7" si="14">+S5-S6</f>
        <v>1283.6190000000001</v>
      </c>
      <c r="T7" s="4">
        <f t="shared" ref="T7" si="15">+T5-T6</f>
        <v>1402.9390000000005</v>
      </c>
      <c r="U7" s="4">
        <f t="shared" ref="U7:V7" si="16">+U5-U6</f>
        <v>1633.153</v>
      </c>
      <c r="V7" s="4">
        <f t="shared" si="16"/>
        <v>1797.4669999999999</v>
      </c>
      <c r="W7" s="4">
        <f t="shared" ref="W7" si="17">+W5-W6</f>
        <v>1584.721</v>
      </c>
      <c r="X7" s="4">
        <f t="shared" ref="X7" si="18">+X5-X6</f>
        <v>1792.4280000000001</v>
      </c>
      <c r="Y7" s="4">
        <f>+Y5-Y6</f>
        <v>1930.2939999999999</v>
      </c>
    </row>
    <row r="8" spans="1:31" s="4" customFormat="1" x14ac:dyDescent="0.2">
      <c r="B8" s="4" t="s">
        <v>25</v>
      </c>
      <c r="C8" s="5">
        <v>12.496</v>
      </c>
      <c r="D8" s="5">
        <v>15.159000000000001</v>
      </c>
      <c r="E8" s="5">
        <v>71.356999999999999</v>
      </c>
      <c r="F8" s="5">
        <v>16.117000000000001</v>
      </c>
      <c r="G8" s="5">
        <v>35.753999999999998</v>
      </c>
      <c r="H8" s="5">
        <v>24.376000000000001</v>
      </c>
      <c r="I8" s="5">
        <v>-5.82</v>
      </c>
      <c r="J8" s="5">
        <v>4.8540000000000001</v>
      </c>
      <c r="K8" s="4">
        <v>8.2720000000000002</v>
      </c>
      <c r="R8" s="4">
        <v>2.8359999999999999</v>
      </c>
      <c r="S8" s="4">
        <v>9.6530000000000005</v>
      </c>
      <c r="T8" s="4">
        <v>13.023</v>
      </c>
      <c r="U8" s="4">
        <v>-6.9960000000000004</v>
      </c>
      <c r="V8" s="4">
        <v>3.952</v>
      </c>
      <c r="W8" s="4">
        <v>-12.757</v>
      </c>
      <c r="X8" s="4">
        <v>115.127</v>
      </c>
      <c r="Y8" s="4">
        <f>SUM(G8:J8)</f>
        <v>59.163999999999994</v>
      </c>
    </row>
    <row r="9" spans="1:31" s="4" customFormat="1" x14ac:dyDescent="0.2">
      <c r="B9" s="4" t="s">
        <v>21</v>
      </c>
      <c r="C9" s="5">
        <f t="shared" ref="C9" si="19">+C7+C8</f>
        <v>497.56</v>
      </c>
      <c r="D9" s="5">
        <f t="shared" ref="D9" si="20">+D7+D8</f>
        <v>538.96400000000006</v>
      </c>
      <c r="E9" s="5">
        <f t="shared" ref="E9:H9" si="21">+E7+E8</f>
        <v>581.88400000000001</v>
      </c>
      <c r="F9" s="5">
        <f t="shared" ref="F9" si="22">+F7+F8</f>
        <v>450.07499999999999</v>
      </c>
      <c r="G9" s="5">
        <f t="shared" si="21"/>
        <v>577.745</v>
      </c>
      <c r="H9" s="5">
        <f t="shared" si="21"/>
        <v>551.53899999999999</v>
      </c>
      <c r="I9" s="5">
        <f>+I7+I8</f>
        <v>474.09599999999995</v>
      </c>
      <c r="J9" s="5">
        <f>+J7+J8</f>
        <v>386.07799999999992</v>
      </c>
      <c r="K9" s="5">
        <f>+K7+K8</f>
        <v>578.01700000000005</v>
      </c>
      <c r="Q9" s="4">
        <f t="shared" ref="Q9" si="23">+Q7+Q8</f>
        <v>0</v>
      </c>
      <c r="R9" s="4">
        <f t="shared" ref="R9" si="24">+R7+R8</f>
        <v>1201.623</v>
      </c>
      <c r="S9" s="4">
        <f t="shared" ref="S9" si="25">+S7+S8</f>
        <v>1293.2720000000002</v>
      </c>
      <c r="T9" s="4">
        <f t="shared" ref="T9:V9" si="26">+T7+T8</f>
        <v>1415.9620000000004</v>
      </c>
      <c r="U9" s="4">
        <f t="shared" si="26"/>
        <v>1626.1569999999999</v>
      </c>
      <c r="V9" s="4">
        <f t="shared" si="26"/>
        <v>1801.4189999999999</v>
      </c>
      <c r="W9" s="4">
        <f t="shared" ref="W9" si="27">+W7+W8</f>
        <v>1571.9639999999999</v>
      </c>
      <c r="X9" s="4">
        <f t="shared" ref="X9" si="28">+X7+X8</f>
        <v>1907.5550000000001</v>
      </c>
      <c r="Y9" s="4">
        <f>+Y7+Y8</f>
        <v>1989.4579999999999</v>
      </c>
    </row>
    <row r="10" spans="1:31" s="4" customFormat="1" x14ac:dyDescent="0.2">
      <c r="B10" s="4" t="s">
        <v>24</v>
      </c>
      <c r="C10" s="5">
        <v>100.116</v>
      </c>
      <c r="D10" s="5">
        <v>125.093</v>
      </c>
      <c r="E10" s="5">
        <v>129.19</v>
      </c>
      <c r="F10" s="5">
        <v>83.096999999999994</v>
      </c>
      <c r="G10" s="5">
        <v>135.696</v>
      </c>
      <c r="H10" s="5">
        <v>126.17</v>
      </c>
      <c r="I10" s="5">
        <v>103.17700000000001</v>
      </c>
      <c r="J10" s="5">
        <v>115.367</v>
      </c>
      <c r="K10" s="4">
        <v>135.024</v>
      </c>
      <c r="R10" s="4">
        <v>380.94499999999999</v>
      </c>
      <c r="S10" s="4">
        <v>300.26799999999997</v>
      </c>
      <c r="T10" s="4">
        <v>308.12700000000001</v>
      </c>
      <c r="U10" s="4">
        <v>216.56299999999999</v>
      </c>
      <c r="V10" s="4">
        <v>423.94400000000002</v>
      </c>
      <c r="W10" s="4">
        <v>380.34</v>
      </c>
      <c r="X10" s="4">
        <v>437.49400000000003</v>
      </c>
      <c r="Y10" s="4">
        <f>SUM(G10:J10)</f>
        <v>480.41</v>
      </c>
    </row>
    <row r="11" spans="1:31" s="4" customFormat="1" x14ac:dyDescent="0.2">
      <c r="B11" s="4" t="s">
        <v>22</v>
      </c>
      <c r="C11" s="5">
        <f t="shared" ref="C11" si="29">+C9-C10</f>
        <v>397.44400000000002</v>
      </c>
      <c r="D11" s="5">
        <f t="shared" ref="D11" si="30">+D9-D10</f>
        <v>413.87100000000004</v>
      </c>
      <c r="E11" s="5">
        <f t="shared" ref="E11:H11" si="31">+E9-E10</f>
        <v>452.69400000000002</v>
      </c>
      <c r="F11" s="5">
        <f t="shared" ref="F11" si="32">+F9-F10</f>
        <v>366.97800000000001</v>
      </c>
      <c r="G11" s="5">
        <f t="shared" si="31"/>
        <v>442.04899999999998</v>
      </c>
      <c r="H11" s="5">
        <f t="shared" si="31"/>
        <v>425.36899999999997</v>
      </c>
      <c r="I11" s="5">
        <f>+I9-I10</f>
        <v>370.91899999999993</v>
      </c>
      <c r="J11" s="5">
        <f>+J9-J10</f>
        <v>270.7109999999999</v>
      </c>
      <c r="K11" s="5">
        <f>+K9-K10</f>
        <v>442.99300000000005</v>
      </c>
      <c r="Q11" s="4">
        <f t="shared" ref="Q11" si="33">+Q9-Q10</f>
        <v>0</v>
      </c>
      <c r="R11" s="4">
        <f t="shared" ref="R11" si="34">+R9-R10</f>
        <v>820.67800000000011</v>
      </c>
      <c r="S11" s="4">
        <f t="shared" ref="S11" si="35">+S9-S10</f>
        <v>993.00400000000013</v>
      </c>
      <c r="T11" s="4">
        <f t="shared" ref="T11:V11" si="36">+T9-T10</f>
        <v>1107.8350000000005</v>
      </c>
      <c r="U11" s="4">
        <f t="shared" si="36"/>
        <v>1409.5940000000001</v>
      </c>
      <c r="V11" s="4">
        <f t="shared" si="36"/>
        <v>1377.4749999999999</v>
      </c>
      <c r="W11" s="4">
        <f t="shared" ref="W11" si="37">+W9-W10</f>
        <v>1191.624</v>
      </c>
      <c r="X11" s="4">
        <f t="shared" ref="X11" si="38">+X9-X10</f>
        <v>1470.0610000000001</v>
      </c>
      <c r="Y11" s="4">
        <f>+Y9-Y10</f>
        <v>1509.0479999999998</v>
      </c>
    </row>
    <row r="12" spans="1:31" x14ac:dyDescent="0.2">
      <c r="B12" s="4" t="s">
        <v>23</v>
      </c>
      <c r="C12" s="6">
        <f t="shared" ref="C12:D12" si="39">+C11/C13</f>
        <v>0.37527677611184923</v>
      </c>
      <c r="D12" s="6">
        <f t="shared" si="39"/>
        <v>0.39041008666220794</v>
      </c>
      <c r="E12" s="6">
        <f>+E11/E13</f>
        <v>0.42708351022579977</v>
      </c>
      <c r="F12" s="6">
        <f t="shared" ref="F12" si="40">+F11/F13</f>
        <v>0.34866473353576738</v>
      </c>
      <c r="G12" s="6">
        <f t="shared" ref="G12:H12" si="41">+G11/G13</f>
        <v>0.42048565465783683</v>
      </c>
      <c r="H12" s="6">
        <f t="shared" si="41"/>
        <v>0.41004243390548095</v>
      </c>
      <c r="I12" s="6">
        <f>+I11/I13</f>
        <v>0.37726804391097774</v>
      </c>
      <c r="J12" s="6">
        <f>+J11/J13</f>
        <v>0.27597044473577426</v>
      </c>
      <c r="K12" s="6">
        <f>+K11/K13</f>
        <v>0.45144311217366673</v>
      </c>
      <c r="Q12" s="1" t="e">
        <f t="shared" ref="Q12" si="42">+Q11/Q13</f>
        <v>#DIV/0!</v>
      </c>
      <c r="R12" s="1">
        <f t="shared" ref="R12" si="43">+R11/R13</f>
        <v>0.71098570366686842</v>
      </c>
      <c r="S12" s="1">
        <f t="shared" ref="S12" si="44">+S11/S13</f>
        <v>0.87992641611756417</v>
      </c>
      <c r="T12" s="1">
        <f t="shared" ref="T12:V12" si="45">+T11/T13</f>
        <v>1.0133724716798882</v>
      </c>
      <c r="U12" s="1">
        <f t="shared" si="45"/>
        <v>1.396132490526345</v>
      </c>
      <c r="V12" s="1">
        <f t="shared" si="45"/>
        <v>1.2858240344709775</v>
      </c>
      <c r="W12" s="1">
        <f t="shared" ref="W12" si="46">+W11/W13</f>
        <v>1.1173828487625206</v>
      </c>
      <c r="X12" s="1">
        <f t="shared" ref="X12" si="47">+X11/X13</f>
        <v>1.3894965977649885</v>
      </c>
      <c r="Y12" s="1">
        <f>+Y11/Y13</f>
        <v>1.4893979998386286</v>
      </c>
    </row>
    <row r="13" spans="1:31" s="4" customFormat="1" x14ac:dyDescent="0.2">
      <c r="B13" s="4" t="s">
        <v>1</v>
      </c>
      <c r="C13" s="5">
        <v>1059.069</v>
      </c>
      <c r="D13" s="5">
        <v>1060.0930000000001</v>
      </c>
      <c r="E13" s="5">
        <v>1059.9659999999999</v>
      </c>
      <c r="F13" s="5">
        <v>1052.5239999999999</v>
      </c>
      <c r="G13" s="5">
        <v>1051.2819999999999</v>
      </c>
      <c r="H13" s="5">
        <v>1037.3779999999999</v>
      </c>
      <c r="I13" s="5">
        <v>983.17100000000005</v>
      </c>
      <c r="J13" s="5">
        <v>980.94200000000001</v>
      </c>
      <c r="K13" s="4">
        <v>981.28200000000004</v>
      </c>
      <c r="R13" s="4">
        <f>577.141*2</f>
        <v>1154.2819999999999</v>
      </c>
      <c r="S13" s="4">
        <f>564.254*2</f>
        <v>1128.508</v>
      </c>
      <c r="T13" s="4">
        <f>546.608*2</f>
        <v>1093.2159999999999</v>
      </c>
      <c r="U13" s="4">
        <f>504.821*2</f>
        <v>1009.6420000000001</v>
      </c>
      <c r="V13" s="4">
        <v>1071.278</v>
      </c>
      <c r="W13" s="4">
        <v>1066.442</v>
      </c>
      <c r="X13" s="4">
        <v>1057.981</v>
      </c>
      <c r="Y13" s="4">
        <f>AVERAGE(G13:J13)</f>
        <v>1013.19325</v>
      </c>
    </row>
    <row r="17" spans="2:27" x14ac:dyDescent="0.2">
      <c r="B17" t="s">
        <v>16</v>
      </c>
      <c r="H17" s="3">
        <f t="shared" ref="H17" si="48">+H3/D3-1</f>
        <v>2.4602134492315519E-2</v>
      </c>
      <c r="I17" s="3">
        <f>+I3/E3-1</f>
        <v>1.3439991207029101E-2</v>
      </c>
      <c r="J17" s="3">
        <f t="shared" ref="J17:K17" si="49">+J3/F3-1</f>
        <v>4.7357159206246058E-2</v>
      </c>
      <c r="K17" s="3">
        <f t="shared" si="49"/>
        <v>-2.3453239379958246E-2</v>
      </c>
      <c r="R17" s="9">
        <f t="shared" ref="R17:T17" si="50">+R3/Q3-1</f>
        <v>0.10482479627912844</v>
      </c>
      <c r="S17" s="9">
        <f t="shared" si="50"/>
        <v>0.13004812936603694</v>
      </c>
      <c r="T17" s="9">
        <f t="shared" si="50"/>
        <v>0.10339298110965522</v>
      </c>
      <c r="U17" s="9">
        <f t="shared" ref="U17:X17" si="51">+U3/T3-1</f>
        <v>9.4700342956932859E-2</v>
      </c>
      <c r="V17" s="9">
        <f t="shared" si="51"/>
        <v>0.204998523475864</v>
      </c>
      <c r="W17" s="9">
        <f t="shared" si="51"/>
        <v>0.13890075923709588</v>
      </c>
      <c r="X17" s="9">
        <f t="shared" si="51"/>
        <v>0.13135326134319958</v>
      </c>
      <c r="Y17" s="9">
        <f>+Y3/X3-1</f>
        <v>4.9395051307228988E-2</v>
      </c>
      <c r="Z17" s="9">
        <f>+Z3/Y3-1</f>
        <v>5.9696833281527528E-2</v>
      </c>
      <c r="AA17" s="9">
        <f>+AA3/Z3-1</f>
        <v>7.9345088161208999E-2</v>
      </c>
    </row>
    <row r="20" spans="2:27" s="4" customFormat="1" x14ac:dyDescent="0.2">
      <c r="B20" s="4" t="s">
        <v>26</v>
      </c>
      <c r="C20" s="5">
        <v>424.47500000000002</v>
      </c>
      <c r="D20" s="5">
        <f>763.162-C20</f>
        <v>338.68700000000001</v>
      </c>
      <c r="E20" s="5">
        <v>1283.4259999999999</v>
      </c>
      <c r="F20" s="5"/>
      <c r="G20" s="5">
        <v>412.142</v>
      </c>
      <c r="H20" s="5">
        <f>848.433-G20</f>
        <v>436.291</v>
      </c>
      <c r="I20" s="5">
        <f>1466.832-H20-G20</f>
        <v>618.39900000000011</v>
      </c>
      <c r="J20" s="5">
        <f>+Y20-I20-H20-G20</f>
        <v>461.70099999999985</v>
      </c>
      <c r="R20" s="4">
        <v>987.73099999999999</v>
      </c>
      <c r="S20" s="4">
        <v>1161.8810000000001</v>
      </c>
      <c r="T20" s="4">
        <v>1113.7619999999999</v>
      </c>
      <c r="U20" s="4">
        <v>1364.163</v>
      </c>
      <c r="V20" s="4">
        <v>1155.741</v>
      </c>
      <c r="W20" s="4">
        <v>887.69899999999996</v>
      </c>
      <c r="X20" s="4">
        <v>1717.7529999999999</v>
      </c>
      <c r="Y20" s="4">
        <v>1928.5329999999999</v>
      </c>
    </row>
    <row r="21" spans="2:27" s="4" customFormat="1" x14ac:dyDescent="0.2">
      <c r="B21" s="4" t="s">
        <v>28</v>
      </c>
      <c r="C21" s="5">
        <v>40.1</v>
      </c>
      <c r="D21" s="5">
        <f>82.425-C21</f>
        <v>42.324999999999996</v>
      </c>
      <c r="E21" s="5">
        <v>110.224</v>
      </c>
      <c r="F21" s="5"/>
      <c r="G21" s="5">
        <v>66.043999999999997</v>
      </c>
      <c r="H21" s="5">
        <f>125.812-G21</f>
        <v>59.768000000000001</v>
      </c>
      <c r="I21" s="5">
        <f>172.795-H21-G21</f>
        <v>46.98299999999999</v>
      </c>
      <c r="J21" s="5">
        <f>+Y21-I21-H21-G21</f>
        <v>91.279000000000011</v>
      </c>
      <c r="R21" s="4">
        <v>83.435000000000002</v>
      </c>
      <c r="S21" s="4">
        <v>61.941000000000003</v>
      </c>
      <c r="T21" s="4">
        <v>101.661</v>
      </c>
      <c r="U21" s="4">
        <v>48.722000000000001</v>
      </c>
      <c r="V21" s="4">
        <v>43.868000000000002</v>
      </c>
      <c r="W21" s="4">
        <v>188.726</v>
      </c>
      <c r="X21" s="4">
        <v>221.428</v>
      </c>
      <c r="Y21" s="4">
        <v>264.07400000000001</v>
      </c>
    </row>
    <row r="22" spans="2:27" s="4" customFormat="1" x14ac:dyDescent="0.2">
      <c r="B22" s="4" t="s">
        <v>27</v>
      </c>
      <c r="C22" s="5">
        <f>+C20-C21</f>
        <v>384.375</v>
      </c>
      <c r="D22" s="5">
        <f>+D20-D21</f>
        <v>296.36200000000002</v>
      </c>
      <c r="E22" s="5">
        <f>+E20-E21</f>
        <v>1173.202</v>
      </c>
      <c r="F22" s="5"/>
      <c r="G22" s="5">
        <f>+G20-G21</f>
        <v>346.09800000000001</v>
      </c>
      <c r="H22" s="5">
        <f>+H20-H21</f>
        <v>376.52300000000002</v>
      </c>
      <c r="I22" s="5">
        <f>+I20-I21</f>
        <v>571.41600000000017</v>
      </c>
      <c r="J22" s="5">
        <f>+J20-J21</f>
        <v>370.42199999999985</v>
      </c>
      <c r="R22" s="4">
        <f t="shared" ref="R22" si="52">+R20-R21</f>
        <v>904.29600000000005</v>
      </c>
      <c r="S22" s="4">
        <f t="shared" ref="S22" si="53">+S20-S21</f>
        <v>1099.94</v>
      </c>
      <c r="T22" s="4">
        <f t="shared" ref="T22:V22" si="54">+T20-T21</f>
        <v>1012.1009999999999</v>
      </c>
      <c r="U22" s="4">
        <f t="shared" si="54"/>
        <v>1315.441</v>
      </c>
      <c r="V22" s="4">
        <f t="shared" si="54"/>
        <v>1111.873</v>
      </c>
      <c r="W22" s="4">
        <f>+W20-W21</f>
        <v>698.97299999999996</v>
      </c>
      <c r="X22" s="4">
        <f>+X20-X21</f>
        <v>1496.3249999999998</v>
      </c>
      <c r="Y22" s="4">
        <f>+Y20-Y21</f>
        <v>1664.4589999999998</v>
      </c>
    </row>
    <row r="23" spans="2:27" x14ac:dyDescent="0.2">
      <c r="S23" s="9">
        <f t="shared" ref="S23:Y23" si="55">S22/R22-1</f>
        <v>0.21634951387598744</v>
      </c>
      <c r="T23" s="9">
        <f t="shared" si="55"/>
        <v>-7.9857992254123156E-2</v>
      </c>
      <c r="U23" s="9">
        <f t="shared" si="55"/>
        <v>0.29971317091871286</v>
      </c>
      <c r="V23" s="9">
        <f t="shared" si="55"/>
        <v>-0.15475266469571802</v>
      </c>
      <c r="W23" s="9">
        <f t="shared" si="55"/>
        <v>-0.37135536162853133</v>
      </c>
      <c r="X23" s="9">
        <f t="shared" si="55"/>
        <v>1.1407479258855493</v>
      </c>
      <c r="Y23" s="9">
        <f t="shared" si="55"/>
        <v>0.11236462666867153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2025-02-10T14:07:13Z</dcterms:created>
  <dcterms:modified xsi:type="dcterms:W3CDTF">2025-10-14T13:40:31Z</dcterms:modified>
</cp:coreProperties>
</file>