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05A17E0-95C8-4D71-8A54-53D4F1ABA8D4}" xr6:coauthVersionLast="47" xr6:coauthVersionMax="47" xr10:uidLastSave="{00000000-0000-0000-0000-000000000000}"/>
  <bookViews>
    <workbookView xWindow="3240" yWindow="3240" windowWidth="18075" windowHeight="16020" activeTab="1" xr2:uid="{040A5584-314E-40E5-8C54-C0576405A9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T65" i="2" s="1"/>
  <c r="P54" i="2"/>
  <c r="P24" i="2"/>
  <c r="P22" i="2"/>
  <c r="P10" i="2"/>
  <c r="P20" i="2"/>
  <c r="S54" i="2"/>
  <c r="R54" i="2"/>
  <c r="Q54" i="2"/>
  <c r="Q24" i="2"/>
  <c r="Q22" i="2"/>
  <c r="R24" i="2"/>
  <c r="R22" i="2"/>
  <c r="S24" i="2"/>
  <c r="S22" i="2"/>
  <c r="R20" i="2"/>
  <c r="Q20" i="2"/>
  <c r="S20" i="2"/>
  <c r="Q10" i="2"/>
  <c r="Q12" i="2" s="1"/>
  <c r="Q31" i="2" s="1"/>
  <c r="R10" i="2"/>
  <c r="R12" i="2" s="1"/>
  <c r="R31" i="2" s="1"/>
  <c r="S10" i="2"/>
  <c r="S12" i="2" s="1"/>
  <c r="S2" i="2"/>
  <c r="P2" i="2" s="1"/>
  <c r="K51" i="2"/>
  <c r="L51" i="2" s="1"/>
  <c r="K49" i="2"/>
  <c r="L49" i="2" s="1"/>
  <c r="K48" i="2"/>
  <c r="L48" i="2" s="1"/>
  <c r="K47" i="2"/>
  <c r="L47" i="2" s="1"/>
  <c r="K46" i="2"/>
  <c r="L46" i="2" s="1"/>
  <c r="K40" i="2"/>
  <c r="L40" i="2" s="1"/>
  <c r="K43" i="2"/>
  <c r="L43" i="2" s="1"/>
  <c r="K42" i="2"/>
  <c r="L42" i="2" s="1"/>
  <c r="K36" i="2"/>
  <c r="L36" i="2" s="1"/>
  <c r="K35" i="2"/>
  <c r="L35" i="2" s="1"/>
  <c r="L14" i="2" s="1"/>
  <c r="K34" i="2"/>
  <c r="J50" i="2"/>
  <c r="J41" i="2"/>
  <c r="J44" i="2" s="1"/>
  <c r="J14" i="2"/>
  <c r="J37" i="2"/>
  <c r="J38" i="2" s="1"/>
  <c r="J54" i="2" s="1"/>
  <c r="M2" i="2"/>
  <c r="T2" i="2" s="1"/>
  <c r="U2" i="2" s="1"/>
  <c r="M30" i="2"/>
  <c r="L30" i="2"/>
  <c r="K30" i="2"/>
  <c r="J30" i="2"/>
  <c r="I30" i="2"/>
  <c r="E24" i="2"/>
  <c r="E22" i="2"/>
  <c r="E20" i="2"/>
  <c r="E12" i="2"/>
  <c r="E31" i="2" s="1"/>
  <c r="F22" i="2"/>
  <c r="I20" i="2"/>
  <c r="I12" i="2"/>
  <c r="F20" i="2"/>
  <c r="F12" i="2"/>
  <c r="F31" i="2" s="1"/>
  <c r="J24" i="2"/>
  <c r="J22" i="2"/>
  <c r="G22" i="2"/>
  <c r="G20" i="2"/>
  <c r="G12" i="2"/>
  <c r="G31" i="2" s="1"/>
  <c r="J12" i="2"/>
  <c r="J31" i="2" s="1"/>
  <c r="J20" i="2"/>
  <c r="K24" i="2"/>
  <c r="K22" i="2"/>
  <c r="K12" i="2"/>
  <c r="K31" i="2" s="1"/>
  <c r="L24" i="2"/>
  <c r="L22" i="2"/>
  <c r="K20" i="2"/>
  <c r="H20" i="2"/>
  <c r="H12" i="2"/>
  <c r="H31" i="2" s="1"/>
  <c r="L20" i="2"/>
  <c r="L12" i="2"/>
  <c r="J4" i="1"/>
  <c r="J7" i="1" s="1"/>
  <c r="J6" i="1"/>
  <c r="J5" i="1"/>
  <c r="P65" i="2" l="1"/>
  <c r="Q65" i="2"/>
  <c r="R65" i="2"/>
  <c r="S65" i="2"/>
  <c r="Q60" i="2"/>
  <c r="S56" i="2"/>
  <c r="P60" i="2"/>
  <c r="P59" i="2"/>
  <c r="S55" i="2"/>
  <c r="R55" i="2"/>
  <c r="P58" i="2"/>
  <c r="Q59" i="2"/>
  <c r="R60" i="2"/>
  <c r="P55" i="2"/>
  <c r="P12" i="2"/>
  <c r="P31" i="2" s="1"/>
  <c r="S59" i="2"/>
  <c r="I21" i="2"/>
  <c r="I23" i="2" s="1"/>
  <c r="I25" i="2" s="1"/>
  <c r="I26" i="2" s="1"/>
  <c r="S60" i="2"/>
  <c r="P57" i="2"/>
  <c r="Q58" i="2"/>
  <c r="S58" i="2"/>
  <c r="R59" i="2"/>
  <c r="S21" i="2"/>
  <c r="S23" i="2" s="1"/>
  <c r="S25" i="2" s="1"/>
  <c r="S26" i="2" s="1"/>
  <c r="S31" i="2"/>
  <c r="S57" i="2"/>
  <c r="R56" i="2"/>
  <c r="Q55" i="2"/>
  <c r="Q56" i="2"/>
  <c r="R57" i="2"/>
  <c r="Q30" i="2"/>
  <c r="R21" i="2"/>
  <c r="R23" i="2" s="1"/>
  <c r="R25" i="2" s="1"/>
  <c r="R26" i="2" s="1"/>
  <c r="P56" i="2"/>
  <c r="Q57" i="2"/>
  <c r="R58" i="2"/>
  <c r="Q21" i="2"/>
  <c r="Q23" i="2" s="1"/>
  <c r="Q25" i="2" s="1"/>
  <c r="Q26" i="2" s="1"/>
  <c r="R30" i="2"/>
  <c r="S30" i="2"/>
  <c r="L50" i="2"/>
  <c r="L21" i="2"/>
  <c r="L23" i="2" s="1"/>
  <c r="L25" i="2" s="1"/>
  <c r="K37" i="2"/>
  <c r="L37" i="2" s="1"/>
  <c r="K14" i="2"/>
  <c r="K15" i="2" s="1"/>
  <c r="K16" i="2" s="1"/>
  <c r="L34" i="2"/>
  <c r="K50" i="2"/>
  <c r="K41" i="2"/>
  <c r="L15" i="2"/>
  <c r="L16" i="2" s="1"/>
  <c r="J52" i="2"/>
  <c r="J15" i="2"/>
  <c r="J16" i="2" s="1"/>
  <c r="H21" i="2"/>
  <c r="H23" i="2" s="1"/>
  <c r="H25" i="2" s="1"/>
  <c r="H26" i="2" s="1"/>
  <c r="I31" i="2"/>
  <c r="G21" i="2"/>
  <c r="G23" i="2" s="1"/>
  <c r="G25" i="2" s="1"/>
  <c r="G26" i="2" s="1"/>
  <c r="E21" i="2"/>
  <c r="E23" i="2" s="1"/>
  <c r="E25" i="2" s="1"/>
  <c r="E26" i="2" s="1"/>
  <c r="F21" i="2"/>
  <c r="F23" i="2" s="1"/>
  <c r="F25" i="2" s="1"/>
  <c r="F26" i="2" s="1"/>
  <c r="J21" i="2"/>
  <c r="J23" i="2" s="1"/>
  <c r="J25" i="2" s="1"/>
  <c r="L31" i="2"/>
  <c r="K21" i="2"/>
  <c r="K23" i="2" s="1"/>
  <c r="K25" i="2" s="1"/>
  <c r="P21" i="2" l="1"/>
  <c r="P23" i="2" s="1"/>
  <c r="P25" i="2" s="1"/>
  <c r="P26" i="2" s="1"/>
  <c r="L38" i="2"/>
  <c r="L54" i="2" s="1"/>
  <c r="K38" i="2"/>
  <c r="K54" i="2" s="1"/>
  <c r="K26" i="2"/>
  <c r="K33" i="2"/>
  <c r="L26" i="2"/>
  <c r="L33" i="2"/>
  <c r="L41" i="2"/>
  <c r="L44" i="2" s="1"/>
  <c r="L52" i="2" s="1"/>
  <c r="K44" i="2"/>
  <c r="K52" i="2" s="1"/>
  <c r="J26" i="2"/>
  <c r="J33" i="2"/>
  <c r="T54" i="2" l="1"/>
  <c r="T55" i="2"/>
  <c r="T59" i="2"/>
  <c r="T58" i="2"/>
  <c r="T60" i="2"/>
  <c r="T56" i="2"/>
  <c r="T57" i="2"/>
</calcChain>
</file>

<file path=xl/sharedStrings.xml><?xml version="1.0" encoding="utf-8"?>
<sst xmlns="http://schemas.openxmlformats.org/spreadsheetml/2006/main" count="83" uniqueCount="76">
  <si>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</si>
  <si>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</si>
  <si>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</si>
  <si>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</si>
  <si>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</si>
  <si>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</si>
  <si>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</si>
  <si>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</si>
  <si>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</si>
  <si>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Gross Profit</t>
  </si>
  <si>
    <t>COGS</t>
  </si>
  <si>
    <t>Operating Expenses</t>
  </si>
  <si>
    <t>Operating Income</t>
  </si>
  <si>
    <t>R&amp;D</t>
  </si>
  <si>
    <t>SG&amp;A</t>
  </si>
  <si>
    <t>Interest Income</t>
  </si>
  <si>
    <t>Pretax Income</t>
  </si>
  <si>
    <t>Taxes</t>
  </si>
  <si>
    <t>Net Income</t>
  </si>
  <si>
    <t>EPS</t>
  </si>
  <si>
    <t>FQ324</t>
  </si>
  <si>
    <t>FQ224</t>
  </si>
  <si>
    <t>FQ124</t>
  </si>
  <si>
    <t>FQ423</t>
  </si>
  <si>
    <t>FQ323</t>
  </si>
  <si>
    <t>FQ223</t>
  </si>
  <si>
    <t>FQ123</t>
  </si>
  <si>
    <t>FQ424</t>
  </si>
  <si>
    <t>Gross Margin</t>
  </si>
  <si>
    <t>Revenue Growth</t>
  </si>
  <si>
    <t>FQ422</t>
  </si>
  <si>
    <t>Model NI</t>
  </si>
  <si>
    <t>Reported NI</t>
  </si>
  <si>
    <t>Depreciation</t>
  </si>
  <si>
    <t>SBC</t>
  </si>
  <si>
    <t>WC</t>
  </si>
  <si>
    <t>CFFO</t>
  </si>
  <si>
    <t>Gross Profit + D</t>
  </si>
  <si>
    <t>CFFI</t>
  </si>
  <si>
    <t>Securities</t>
  </si>
  <si>
    <t>Government</t>
  </si>
  <si>
    <t>Other</t>
  </si>
  <si>
    <t>Leases</t>
  </si>
  <si>
    <t>Dividends</t>
  </si>
  <si>
    <t>CIC</t>
  </si>
  <si>
    <t>FX</t>
  </si>
  <si>
    <t>CFFF</t>
  </si>
  <si>
    <t>FCF</t>
  </si>
  <si>
    <t>CapEx</t>
  </si>
  <si>
    <t>F2022</t>
  </si>
  <si>
    <t>F2023</t>
  </si>
  <si>
    <t>F2024</t>
  </si>
  <si>
    <t>F2025</t>
  </si>
  <si>
    <t>F2021</t>
  </si>
  <si>
    <t>F2020</t>
  </si>
  <si>
    <t>Founded: 1978</t>
  </si>
  <si>
    <t>Boise, Idaho</t>
  </si>
  <si>
    <t> DRAM, NAND, and NOR</t>
  </si>
  <si>
    <t>DRAM</t>
  </si>
  <si>
    <t>Volatile</t>
  </si>
  <si>
    <t>DDR4</t>
  </si>
  <si>
    <t>DDR5</t>
  </si>
  <si>
    <t>LPDRAM4</t>
  </si>
  <si>
    <t>LPDRAM5</t>
  </si>
  <si>
    <t>CNBU</t>
  </si>
  <si>
    <t>MBU</t>
  </si>
  <si>
    <t>EBU</t>
  </si>
  <si>
    <t>SBU</t>
  </si>
  <si>
    <t>FCF T2Y</t>
  </si>
  <si>
    <t>FCF T3Y</t>
  </si>
  <si>
    <t>FCF T4Y</t>
  </si>
  <si>
    <t>FCF T5Y</t>
  </si>
  <si>
    <t>FCF T6Y</t>
  </si>
  <si>
    <t>FCF T7Y</t>
  </si>
  <si>
    <t>Stock Price EOY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</si>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</sst>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6A51B30-E201-47F6-8DBB-C49C069FCA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Model!$P$2:$T$2</c:f>
              <c:numCache>
                <c:formatCode>yyyy/mm/dd;@</c:formatCode>
                <c:ptCount val="5"/>
                <c:pt idx="0">
                  <c:v>44076</c:v>
                </c:pt>
                <c:pt idx="1">
                  <c:v>44441</c:v>
                </c:pt>
                <c:pt idx="2">
                  <c:v>44805</c:v>
                </c:pt>
                <c:pt idx="3">
                  <c:v>45169</c:v>
                </c:pt>
                <c:pt idx="4">
                  <c:v>45535</c:v>
                </c:pt>
              </c:numCache>
            </c:numRef>
          </c:cat>
          <c:val>
            <c:numRef>
              <c:f>Model!$P$63:$T$63</c:f>
              <c:numCache>
                <c:formatCode>General</c:formatCode>
                <c:ptCount val="5"/>
                <c:pt idx="0">
                  <c:v>75.180000000000007</c:v>
                </c:pt>
                <c:pt idx="1">
                  <c:v>93.15</c:v>
                </c:pt>
                <c:pt idx="2">
                  <c:v>49.98</c:v>
                </c:pt>
                <c:pt idx="3" formatCode="#,##0.00">
                  <c:v>85.34</c:v>
                </c:pt>
                <c:pt idx="4" formatCode="#,##0.0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8-4BB0-8C6C-E808DC9E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39199"/>
        <c:axId val="15610358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Model!$P$2:$T$2</c:f>
              <c:numCache>
                <c:formatCode>yyyy/mm/dd;@</c:formatCode>
                <c:ptCount val="5"/>
                <c:pt idx="0">
                  <c:v>44076</c:v>
                </c:pt>
                <c:pt idx="1">
                  <c:v>44441</c:v>
                </c:pt>
                <c:pt idx="2">
                  <c:v>44805</c:v>
                </c:pt>
                <c:pt idx="3">
                  <c:v>45169</c:v>
                </c:pt>
                <c:pt idx="4">
                  <c:v>45535</c:v>
                </c:pt>
              </c:numCache>
            </c:numRef>
          </c:cat>
          <c:val>
            <c:numRef>
              <c:f>Model!$P$54:$T$54</c:f>
              <c:numCache>
                <c:formatCode>#,##0</c:formatCode>
                <c:ptCount val="5"/>
                <c:pt idx="0">
                  <c:v>83</c:v>
                </c:pt>
                <c:pt idx="1">
                  <c:v>2438</c:v>
                </c:pt>
                <c:pt idx="2">
                  <c:v>3114</c:v>
                </c:pt>
                <c:pt idx="3">
                  <c:v>-6117</c:v>
                </c:pt>
                <c:pt idx="4">
                  <c:v>-164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8-4BB0-8C6C-E808DC9E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32479"/>
        <c:axId val="1561041119"/>
      </c:lineChart>
      <c:dateAx>
        <c:axId val="1561039199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5839"/>
        <c:crosses val="autoZero"/>
        <c:auto val="1"/>
        <c:lblOffset val="100"/>
        <c:baseTimeUnit val="months"/>
      </c:dateAx>
      <c:valAx>
        <c:axId val="15610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9199"/>
        <c:crosses val="autoZero"/>
        <c:crossBetween val="between"/>
      </c:valAx>
      <c:valAx>
        <c:axId val="156104111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2479"/>
        <c:crosses val="max"/>
        <c:crossBetween val="between"/>
      </c:valAx>
      <c:dateAx>
        <c:axId val="1561032479"/>
        <c:scaling>
          <c:orientation val="minMax"/>
        </c:scaling>
        <c:delete val="1"/>
        <c:axPos val="b"/>
        <c:numFmt formatCode="yyyy/mm/dd;@" sourceLinked="1"/>
        <c:majorTickMark val="out"/>
        <c:minorTickMark val="none"/>
        <c:tickLblPos val="nextTo"/>
        <c:crossAx val="156104111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20266</xdr:colOff>
      <xdr:row>0</xdr:row>
      <xdr:rowOff>68617</xdr:rowOff>
    </xdr:from>
    <xdr:to>
      <xdr:col>12</xdr:col>
      <xdr:colOff>20266</xdr:colOff>
      <xdr:row>56</xdr:row>
      <xdr:rowOff>108262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9379AA-F50B-4C2A-4EAF-5C5B161BD2A2}"/>
            </a:ext>
          </a:extLst>
        </xdr:cNvPr>
        <xdr:cNvCxnSpPr/>
      </xdr:nvCxnSpPr>
      <xdr:spPr>
        <a:xfrm>
          <a:off x="7680371" y="68617"/>
          <a:ext cx="0" cy="80606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66</xdr:row>
      <xdr:rowOff>5376</xdr:rowOff>
    </xdr:from>
    <xdr:to>
      <xdr:col>18</xdr:col>
      <xdr:colOff>109944</xdr:colOff>
      <xdr:row>86</xdr:row>
      <xdr:rowOff>74852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95BE0-AEE6-A331-8B22-03AF3A84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B3D3-F24B-4B90-87C3-03D13C01C91B}">
  <dimension ref="B2:K10"/>
  <sheetViews>
    <sheetView zoomScaleNormal="100" workbookViewId="0">
      <selection activeCell="K7" sqref="K7"/>
    </sheetView>
  </sheetViews>
  <sheetFormatPr defaultRowHeight="12.75" x14ac:dyDescent="0.2"/>
  <sheetData>
    <row r="2" spans="2:11" x14ac:dyDescent="0.2">
      <c r="B2" s="14" t="s">
        <v>57</v>
      </c>
      <c r="I2" t="s">
        <v>0</v>
      </c>
      <c r="J2" s="1">
        <v>89</v>
      </c>
    </row>
    <row r="3" spans="2:11" x14ac:dyDescent="0.2">
      <c r="B3" t="s">
        <v>58</v>
      </c>
      <c r="I3" t="s">
        <v>1</v>
      </c>
      <c r="J3" s="2">
        <v>1108.841326</v>
      </c>
      <c r="K3" s="3" t="s">
        <v>6</v>
      </c>
    </row>
    <row r="4" spans="2:11" x14ac:dyDescent="0.2">
      <c r="C4" t="s">
        <v>59</v>
      </c>
      <c r="I4" t="s">
        <v>2</v>
      </c>
      <c r="J4" s="2">
        <f>+J2*J3</f>
        <v>98686.878014000002</v>
      </c>
    </row>
    <row r="5" spans="2:11" x14ac:dyDescent="0.2">
      <c r="C5" t="s">
        <v>62</v>
      </c>
      <c r="I5" t="s">
        <v>3</v>
      </c>
      <c r="J5" s="2">
        <f>7594+785+775</f>
        <v>9154</v>
      </c>
      <c r="K5" s="3" t="s">
        <v>6</v>
      </c>
    </row>
    <row r="6" spans="2:11" x14ac:dyDescent="0.2">
      <c r="C6" t="s">
        <v>63</v>
      </c>
      <c r="I6" t="s">
        <v>4</v>
      </c>
      <c r="J6" s="2">
        <f>12860+398</f>
        <v>13258</v>
      </c>
      <c r="K6" s="3" t="s">
        <v>6</v>
      </c>
    </row>
    <row r="7" spans="2:11" x14ac:dyDescent="0.2">
      <c r="C7" t="s">
        <v>60</v>
      </c>
      <c r="I7" t="s">
        <v>5</v>
      </c>
      <c r="J7" s="2">
        <f>+J4-J5+J6</f>
        <v>102790.878014</v>
      </c>
    </row>
    <row r="8" spans="2:11" x14ac:dyDescent="0.2">
      <c r="C8" t="s">
        <v>61</v>
      </c>
    </row>
    <row r="9" spans="2:11" x14ac:dyDescent="0.2">
      <c r="I9" t="s">
        <v>55</v>
      </c>
    </row>
    <row r="10" spans="2:11" x14ac:dyDescent="0.2">
      <c r="I1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ECE1-E2C2-4F5D-AB90-79F4AAA15D0A}">
  <dimension ref="A1:U65"/>
  <sheetViews>
    <sheetView tabSelected="1" zoomScaleNormal="100" workbookViewId="0">
      <pane xSplit="2" ySplit="3" topLeftCell="K4" activePane="bottomRight" state="frozen"/>
      <selection pane="topRight" activeCell="C1" sqref="C1"/>
      <selection pane="bottomLeft" activeCell="A3" sqref="A3"/>
      <selection pane="bottomRight" activeCell="S30" sqref="S30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9.140625" style="3"/>
    <col min="5" max="13" width="10.140625" style="3" bestFit="1" customWidth="1"/>
    <col min="14" max="14" width="10.140625" style="3" customWidth="1"/>
    <col min="16" max="21" width="10.140625" bestFit="1" customWidth="1"/>
  </cols>
  <sheetData>
    <row r="1" spans="1:21" x14ac:dyDescent="0.2">
      <c r="A1" s="9" t="s">
        <v>7</v>
      </c>
    </row>
    <row r="2" spans="1:21" s="18" customFormat="1" x14ac:dyDescent="0.2">
      <c r="C2" s="19"/>
      <c r="D2" s="19"/>
      <c r="E2" s="19">
        <v>44805</v>
      </c>
      <c r="F2" s="19">
        <v>44896</v>
      </c>
      <c r="G2" s="19">
        <v>44987</v>
      </c>
      <c r="H2" s="19">
        <v>45078</v>
      </c>
      <c r="I2" s="19">
        <v>45169</v>
      </c>
      <c r="J2" s="19">
        <v>45260</v>
      </c>
      <c r="K2" s="19">
        <v>45351</v>
      </c>
      <c r="L2" s="19">
        <v>45442</v>
      </c>
      <c r="M2" s="19">
        <f>+I2+366</f>
        <v>45535</v>
      </c>
      <c r="N2" s="19"/>
      <c r="P2" s="18">
        <f>+Q2-365</f>
        <v>44076</v>
      </c>
      <c r="Q2" s="18">
        <v>44441</v>
      </c>
      <c r="R2" s="18">
        <v>44805</v>
      </c>
      <c r="S2" s="18">
        <f>+I2</f>
        <v>45169</v>
      </c>
      <c r="T2" s="18">
        <f>+M2</f>
        <v>45535</v>
      </c>
      <c r="U2" s="18">
        <f>+T2+365</f>
        <v>45900</v>
      </c>
    </row>
    <row r="3" spans="1:21" x14ac:dyDescent="0.2">
      <c r="E3" s="3" t="s">
        <v>30</v>
      </c>
      <c r="F3" s="3" t="s">
        <v>26</v>
      </c>
      <c r="G3" s="3" t="s">
        <v>25</v>
      </c>
      <c r="H3" s="3" t="s">
        <v>24</v>
      </c>
      <c r="I3" s="3" t="s">
        <v>23</v>
      </c>
      <c r="J3" s="3" t="s">
        <v>22</v>
      </c>
      <c r="K3" s="3" t="s">
        <v>21</v>
      </c>
      <c r="L3" s="3" t="s">
        <v>20</v>
      </c>
      <c r="M3" s="3" t="s">
        <v>27</v>
      </c>
      <c r="O3" s="3"/>
      <c r="P3" s="3" t="s">
        <v>54</v>
      </c>
      <c r="Q3" s="3" t="s">
        <v>53</v>
      </c>
      <c r="R3" s="3" t="s">
        <v>49</v>
      </c>
      <c r="S3" s="3" t="s">
        <v>50</v>
      </c>
      <c r="T3" s="3" t="s">
        <v>51</v>
      </c>
      <c r="U3" s="3" t="s">
        <v>52</v>
      </c>
    </row>
    <row r="4" spans="1:21" x14ac:dyDescent="0.2">
      <c r="B4" t="s">
        <v>64</v>
      </c>
      <c r="O4" s="3"/>
      <c r="P4" s="4">
        <v>9184</v>
      </c>
      <c r="Q4" s="4">
        <v>12280</v>
      </c>
      <c r="R4" s="4">
        <v>13693</v>
      </c>
      <c r="S4" s="4">
        <v>5710</v>
      </c>
      <c r="T4" s="3"/>
      <c r="U4" s="3"/>
    </row>
    <row r="5" spans="1:21" x14ac:dyDescent="0.2">
      <c r="B5" t="s">
        <v>65</v>
      </c>
      <c r="O5" s="3"/>
      <c r="P5" s="4">
        <v>5702</v>
      </c>
      <c r="Q5" s="4">
        <v>7203</v>
      </c>
      <c r="R5" s="4">
        <v>7260</v>
      </c>
      <c r="S5" s="4">
        <v>3630</v>
      </c>
      <c r="T5" s="3"/>
      <c r="U5" s="3"/>
    </row>
    <row r="6" spans="1:21" x14ac:dyDescent="0.2">
      <c r="B6" t="s">
        <v>66</v>
      </c>
      <c r="O6" s="3"/>
      <c r="P6" s="4">
        <v>2759</v>
      </c>
      <c r="Q6" s="4">
        <v>4209</v>
      </c>
      <c r="R6" s="4">
        <v>5235</v>
      </c>
      <c r="S6" s="4">
        <v>3640</v>
      </c>
      <c r="T6" s="3"/>
      <c r="U6" s="3"/>
    </row>
    <row r="7" spans="1:21" x14ac:dyDescent="0.2">
      <c r="B7" t="s">
        <v>67</v>
      </c>
      <c r="O7" s="3"/>
      <c r="P7" s="4">
        <v>3765</v>
      </c>
      <c r="Q7" s="4">
        <v>3973</v>
      </c>
      <c r="R7" s="4">
        <v>4553</v>
      </c>
      <c r="S7" s="4">
        <v>2550</v>
      </c>
      <c r="T7" s="3"/>
      <c r="U7" s="3"/>
    </row>
    <row r="8" spans="1:21" x14ac:dyDescent="0.2">
      <c r="O8" s="3"/>
      <c r="P8" s="4">
        <v>25</v>
      </c>
      <c r="Q8" s="3">
        <v>40</v>
      </c>
      <c r="R8" s="3">
        <v>17</v>
      </c>
      <c r="S8" s="3">
        <v>10</v>
      </c>
      <c r="T8" s="3"/>
      <c r="U8" s="3"/>
    </row>
    <row r="9" spans="1:21" x14ac:dyDescent="0.2">
      <c r="O9" s="3"/>
      <c r="P9" s="3"/>
      <c r="Q9" s="3"/>
      <c r="R9" s="3"/>
      <c r="S9" s="3"/>
      <c r="T9" s="3"/>
      <c r="U9" s="3"/>
    </row>
    <row r="10" spans="1:21" s="7" customFormat="1" x14ac:dyDescent="0.2">
      <c r="B10" s="7" t="s">
        <v>8</v>
      </c>
      <c r="C10" s="8"/>
      <c r="D10" s="8"/>
      <c r="E10" s="8">
        <v>6643</v>
      </c>
      <c r="F10" s="8">
        <v>4085</v>
      </c>
      <c r="G10" s="8">
        <v>3693</v>
      </c>
      <c r="H10" s="8">
        <v>3752</v>
      </c>
      <c r="I10" s="8">
        <v>4010</v>
      </c>
      <c r="J10" s="8">
        <v>4726</v>
      </c>
      <c r="K10" s="8">
        <v>5824</v>
      </c>
      <c r="L10" s="8">
        <v>6811</v>
      </c>
      <c r="M10" s="8">
        <v>7600</v>
      </c>
      <c r="N10" s="8"/>
      <c r="P10" s="7">
        <f>SUM(P4:P8)</f>
        <v>21435</v>
      </c>
      <c r="Q10" s="7">
        <f>SUM(Q4:Q8)</f>
        <v>27705</v>
      </c>
      <c r="R10" s="7">
        <f>SUM(R4:R8)</f>
        <v>30758</v>
      </c>
      <c r="S10" s="7">
        <f>SUM(S4:S8)</f>
        <v>15540</v>
      </c>
      <c r="T10" s="7">
        <f>SUM(J10:M10)</f>
        <v>24961</v>
      </c>
    </row>
    <row r="11" spans="1:21" s="2" customFormat="1" x14ac:dyDescent="0.2">
      <c r="B11" s="2" t="s">
        <v>10</v>
      </c>
      <c r="C11" s="4"/>
      <c r="D11" s="4"/>
      <c r="E11" s="4">
        <v>4021</v>
      </c>
      <c r="F11" s="4">
        <v>3192</v>
      </c>
      <c r="G11" s="4">
        <v>4899</v>
      </c>
      <c r="H11" s="4">
        <v>4420</v>
      </c>
      <c r="I11" s="4">
        <v>4445</v>
      </c>
      <c r="J11" s="4">
        <v>4761</v>
      </c>
      <c r="K11" s="4">
        <v>4745</v>
      </c>
      <c r="L11" s="4">
        <v>4979</v>
      </c>
      <c r="M11" s="4"/>
      <c r="N11" s="4"/>
      <c r="P11" s="2">
        <v>14883</v>
      </c>
      <c r="Q11" s="2">
        <v>17282</v>
      </c>
      <c r="R11" s="2">
        <v>16860</v>
      </c>
      <c r="S11" s="2">
        <v>16956</v>
      </c>
    </row>
    <row r="12" spans="1:21" s="2" customFormat="1" x14ac:dyDescent="0.2">
      <c r="B12" s="2" t="s">
        <v>9</v>
      </c>
      <c r="C12" s="4"/>
      <c r="D12" s="4"/>
      <c r="E12" s="4">
        <f t="shared" ref="E12:L12" si="0">+E10-E11</f>
        <v>2622</v>
      </c>
      <c r="F12" s="4">
        <f t="shared" si="0"/>
        <v>893</v>
      </c>
      <c r="G12" s="8">
        <f t="shared" si="0"/>
        <v>-1206</v>
      </c>
      <c r="H12" s="8">
        <f t="shared" si="0"/>
        <v>-668</v>
      </c>
      <c r="I12" s="8">
        <f t="shared" si="0"/>
        <v>-435</v>
      </c>
      <c r="J12" s="8">
        <f t="shared" si="0"/>
        <v>-35</v>
      </c>
      <c r="K12" s="4">
        <f t="shared" si="0"/>
        <v>1079</v>
      </c>
      <c r="L12" s="4">
        <f t="shared" si="0"/>
        <v>1832</v>
      </c>
      <c r="M12" s="4"/>
      <c r="N12" s="4"/>
      <c r="P12" s="2">
        <f t="shared" ref="P12:S12" si="1">+P10-P11</f>
        <v>6552</v>
      </c>
      <c r="Q12" s="2">
        <f t="shared" si="1"/>
        <v>10423</v>
      </c>
      <c r="R12" s="2">
        <f t="shared" si="1"/>
        <v>13898</v>
      </c>
      <c r="S12" s="2">
        <f t="shared" si="1"/>
        <v>-1416</v>
      </c>
    </row>
    <row r="13" spans="1:21" s="2" customFormat="1" x14ac:dyDescent="0.2">
      <c r="C13" s="4"/>
      <c r="D13" s="4"/>
      <c r="E13" s="4"/>
      <c r="F13" s="4"/>
      <c r="G13" s="8"/>
      <c r="H13" s="8"/>
      <c r="I13" s="8"/>
      <c r="J13" s="8"/>
      <c r="K13" s="4"/>
      <c r="L13" s="4"/>
      <c r="M13" s="4"/>
      <c r="N13" s="4"/>
    </row>
    <row r="14" spans="1:21" s="11" customFormat="1" x14ac:dyDescent="0.2">
      <c r="B14" s="11" t="s">
        <v>33</v>
      </c>
      <c r="C14" s="12"/>
      <c r="D14" s="12"/>
      <c r="E14" s="12"/>
      <c r="F14" s="12"/>
      <c r="G14" s="12"/>
      <c r="H14" s="12"/>
      <c r="I14" s="12"/>
      <c r="J14" s="12">
        <f>+J35</f>
        <v>1915</v>
      </c>
      <c r="K14" s="12">
        <f>+K35</f>
        <v>1924</v>
      </c>
      <c r="L14" s="12">
        <f>+L35</f>
        <v>1955</v>
      </c>
      <c r="M14" s="12"/>
      <c r="N14" s="12"/>
    </row>
    <row r="15" spans="1:21" s="11" customFormat="1" x14ac:dyDescent="0.2">
      <c r="B15" s="11" t="s">
        <v>37</v>
      </c>
      <c r="C15" s="12"/>
      <c r="D15" s="12"/>
      <c r="E15" s="12"/>
      <c r="F15" s="12"/>
      <c r="G15" s="12"/>
      <c r="H15" s="12"/>
      <c r="I15" s="12"/>
      <c r="J15" s="12">
        <f>+J12+J14</f>
        <v>1880</v>
      </c>
      <c r="K15" s="12">
        <f>+K12+K14</f>
        <v>3003</v>
      </c>
      <c r="L15" s="12">
        <f>+L12+L14</f>
        <v>3787</v>
      </c>
      <c r="M15" s="12"/>
      <c r="N15" s="12"/>
    </row>
    <row r="16" spans="1:21" s="11" customFormat="1" x14ac:dyDescent="0.2">
      <c r="B16" s="11" t="s">
        <v>28</v>
      </c>
      <c r="C16" s="12"/>
      <c r="D16" s="12"/>
      <c r="E16" s="12"/>
      <c r="F16" s="12"/>
      <c r="G16" s="12"/>
      <c r="H16" s="12"/>
      <c r="I16" s="12"/>
      <c r="J16" s="13">
        <f>+J15/J10</f>
        <v>0.3977994075327973</v>
      </c>
      <c r="K16" s="13">
        <f>+K15/K10</f>
        <v>0.515625</v>
      </c>
      <c r="L16" s="13">
        <f>+L15/L10</f>
        <v>0.55601233299075026</v>
      </c>
      <c r="M16" s="12"/>
      <c r="N16" s="12"/>
    </row>
    <row r="17" spans="2:19" s="2" customFormat="1" x14ac:dyDescent="0.2">
      <c r="C17" s="4"/>
      <c r="D17" s="4"/>
      <c r="E17" s="4"/>
      <c r="F17" s="4"/>
      <c r="G17" s="8"/>
      <c r="H17" s="8"/>
      <c r="I17" s="8"/>
      <c r="J17" s="8"/>
      <c r="K17" s="4"/>
      <c r="L17" s="4"/>
      <c r="M17" s="4"/>
      <c r="N17" s="4"/>
    </row>
    <row r="18" spans="2:19" s="2" customFormat="1" x14ac:dyDescent="0.2">
      <c r="B18" s="2" t="s">
        <v>13</v>
      </c>
      <c r="C18" s="4"/>
      <c r="D18" s="4"/>
      <c r="E18" s="4">
        <v>839</v>
      </c>
      <c r="F18" s="4">
        <v>849</v>
      </c>
      <c r="G18" s="4">
        <v>788</v>
      </c>
      <c r="H18" s="4"/>
      <c r="I18" s="4">
        <v>719</v>
      </c>
      <c r="J18" s="4">
        <v>845</v>
      </c>
      <c r="K18" s="4">
        <v>832</v>
      </c>
      <c r="L18" s="4">
        <v>850</v>
      </c>
      <c r="M18" s="4"/>
      <c r="N18" s="4"/>
      <c r="P18" s="2">
        <v>2600</v>
      </c>
      <c r="Q18" s="2">
        <v>2663</v>
      </c>
      <c r="R18" s="2">
        <v>3116</v>
      </c>
      <c r="S18" s="2">
        <v>3114</v>
      </c>
    </row>
    <row r="19" spans="2:19" s="2" customFormat="1" x14ac:dyDescent="0.2">
      <c r="B19" s="2" t="s">
        <v>14</v>
      </c>
      <c r="C19" s="4"/>
      <c r="D19" s="4"/>
      <c r="E19" s="4">
        <v>280</v>
      </c>
      <c r="F19" s="4">
        <v>251</v>
      </c>
      <c r="G19" s="4">
        <v>231</v>
      </c>
      <c r="H19" s="4"/>
      <c r="I19" s="4">
        <v>219</v>
      </c>
      <c r="J19" s="4">
        <v>263</v>
      </c>
      <c r="K19" s="4">
        <v>280</v>
      </c>
      <c r="L19" s="4">
        <v>291</v>
      </c>
      <c r="M19" s="4"/>
      <c r="N19" s="4"/>
      <c r="P19" s="2">
        <v>881</v>
      </c>
      <c r="Q19" s="2">
        <v>894</v>
      </c>
      <c r="R19" s="2">
        <v>1066</v>
      </c>
      <c r="S19" s="2">
        <v>920</v>
      </c>
    </row>
    <row r="20" spans="2:19" s="2" customFormat="1" x14ac:dyDescent="0.2">
      <c r="B20" s="2" t="s">
        <v>11</v>
      </c>
      <c r="C20" s="4"/>
      <c r="D20" s="4"/>
      <c r="E20" s="4">
        <f t="shared" ref="E20:K20" si="2">+E18+E19</f>
        <v>1119</v>
      </c>
      <c r="F20" s="4">
        <f t="shared" si="2"/>
        <v>1100</v>
      </c>
      <c r="G20" s="4">
        <f t="shared" si="2"/>
        <v>1019</v>
      </c>
      <c r="H20" s="4">
        <f t="shared" si="2"/>
        <v>0</v>
      </c>
      <c r="I20" s="4">
        <f t="shared" si="2"/>
        <v>938</v>
      </c>
      <c r="J20" s="4">
        <f t="shared" si="2"/>
        <v>1108</v>
      </c>
      <c r="K20" s="4">
        <f t="shared" si="2"/>
        <v>1112</v>
      </c>
      <c r="L20" s="4">
        <f>+L18+L19</f>
        <v>1141</v>
      </c>
      <c r="M20" s="4"/>
      <c r="N20" s="4"/>
      <c r="P20" s="2">
        <f t="shared" ref="P20:R20" si="3">+P19+P18</f>
        <v>3481</v>
      </c>
      <c r="Q20" s="2">
        <f t="shared" si="3"/>
        <v>3557</v>
      </c>
      <c r="R20" s="2">
        <f t="shared" si="3"/>
        <v>4182</v>
      </c>
      <c r="S20" s="2">
        <f>+S19+S18</f>
        <v>4034</v>
      </c>
    </row>
    <row r="21" spans="2:19" s="2" customFormat="1" x14ac:dyDescent="0.2">
      <c r="B21" s="2" t="s">
        <v>12</v>
      </c>
      <c r="C21" s="4"/>
      <c r="D21" s="4"/>
      <c r="E21" s="4">
        <f t="shared" ref="E21:K21" si="4">+E12-E20</f>
        <v>1503</v>
      </c>
      <c r="F21" s="4">
        <f t="shared" si="4"/>
        <v>-207</v>
      </c>
      <c r="G21" s="4">
        <f t="shared" si="4"/>
        <v>-2225</v>
      </c>
      <c r="H21" s="4">
        <f t="shared" si="4"/>
        <v>-668</v>
      </c>
      <c r="I21" s="4">
        <f t="shared" si="4"/>
        <v>-1373</v>
      </c>
      <c r="J21" s="4">
        <f t="shared" si="4"/>
        <v>-1143</v>
      </c>
      <c r="K21" s="4">
        <f t="shared" si="4"/>
        <v>-33</v>
      </c>
      <c r="L21" s="4">
        <f>+L12-L20</f>
        <v>691</v>
      </c>
      <c r="M21" s="4"/>
      <c r="N21" s="4"/>
      <c r="P21" s="2">
        <f t="shared" ref="P21:R21" si="5">+P12-P20</f>
        <v>3071</v>
      </c>
      <c r="Q21" s="2">
        <f t="shared" si="5"/>
        <v>6866</v>
      </c>
      <c r="R21" s="2">
        <f t="shared" si="5"/>
        <v>9716</v>
      </c>
      <c r="S21" s="2">
        <f>+S12-S20</f>
        <v>-5450</v>
      </c>
    </row>
    <row r="22" spans="2:19" x14ac:dyDescent="0.2">
      <c r="B22" s="2" t="s">
        <v>15</v>
      </c>
      <c r="E22" s="3">
        <f>23+54-45+23</f>
        <v>55</v>
      </c>
      <c r="F22" s="3">
        <f>11-51-4</f>
        <v>-44</v>
      </c>
      <c r="G22" s="3">
        <f>119-89+2-8</f>
        <v>24</v>
      </c>
      <c r="J22" s="3">
        <f>-27-15</f>
        <v>-42</v>
      </c>
      <c r="K22" s="3">
        <f>130-144-7</f>
        <v>-21</v>
      </c>
      <c r="L22" s="4">
        <f>136-150+10</f>
        <v>-4</v>
      </c>
      <c r="P22">
        <f>-8+114-194+60</f>
        <v>-28</v>
      </c>
      <c r="Q22">
        <f>-95+37-183+81</f>
        <v>-160</v>
      </c>
      <c r="R22">
        <f>34+96-189-38</f>
        <v>-97</v>
      </c>
      <c r="S22">
        <f>-124+468-388+7</f>
        <v>-37</v>
      </c>
    </row>
    <row r="23" spans="2:19" x14ac:dyDescent="0.2">
      <c r="B23" s="2" t="s">
        <v>16</v>
      </c>
      <c r="E23" s="4">
        <f t="shared" ref="E23:J23" si="6">+E21+E22</f>
        <v>1558</v>
      </c>
      <c r="F23" s="4">
        <f t="shared" si="6"/>
        <v>-251</v>
      </c>
      <c r="G23" s="4">
        <f t="shared" si="6"/>
        <v>-2201</v>
      </c>
      <c r="H23" s="4">
        <f t="shared" si="6"/>
        <v>-668</v>
      </c>
      <c r="I23" s="4">
        <f t="shared" si="6"/>
        <v>-1373</v>
      </c>
      <c r="J23" s="4">
        <f t="shared" si="6"/>
        <v>-1185</v>
      </c>
      <c r="K23" s="4">
        <f>+K21+K22</f>
        <v>-54</v>
      </c>
      <c r="L23" s="4">
        <f>+L21+L22</f>
        <v>687</v>
      </c>
      <c r="P23" s="2">
        <f t="shared" ref="P23:S23" si="7">+P21+P22</f>
        <v>3043</v>
      </c>
      <c r="Q23" s="2">
        <f t="shared" si="7"/>
        <v>6706</v>
      </c>
      <c r="R23" s="2">
        <f t="shared" si="7"/>
        <v>9619</v>
      </c>
      <c r="S23" s="2">
        <f t="shared" si="7"/>
        <v>-5487</v>
      </c>
    </row>
    <row r="24" spans="2:19" x14ac:dyDescent="0.2">
      <c r="B24" s="2" t="s">
        <v>17</v>
      </c>
      <c r="E24" s="3">
        <f>56+5</f>
        <v>61</v>
      </c>
      <c r="F24" s="3">
        <v>19</v>
      </c>
      <c r="J24" s="3">
        <f>73+6</f>
        <v>79</v>
      </c>
      <c r="K24" s="4">
        <f>622+1</f>
        <v>623</v>
      </c>
      <c r="L24" s="4">
        <f>377+6</f>
        <v>383</v>
      </c>
      <c r="P24">
        <f>280-7</f>
        <v>273</v>
      </c>
      <c r="Q24">
        <f>394-37</f>
        <v>357</v>
      </c>
      <c r="R24">
        <f>888-4</f>
        <v>884</v>
      </c>
      <c r="S24">
        <f>177-2</f>
        <v>175</v>
      </c>
    </row>
    <row r="25" spans="2:19" x14ac:dyDescent="0.2">
      <c r="B25" s="2" t="s">
        <v>18</v>
      </c>
      <c r="E25" s="4">
        <f t="shared" ref="E25:J25" si="8">+E23-E24</f>
        <v>1497</v>
      </c>
      <c r="F25" s="4">
        <f t="shared" si="8"/>
        <v>-270</v>
      </c>
      <c r="G25" s="4">
        <f t="shared" si="8"/>
        <v>-2201</v>
      </c>
      <c r="H25" s="4">
        <f t="shared" si="8"/>
        <v>-668</v>
      </c>
      <c r="I25" s="4">
        <f t="shared" si="8"/>
        <v>-1373</v>
      </c>
      <c r="J25" s="4">
        <f t="shared" si="8"/>
        <v>-1264</v>
      </c>
      <c r="K25" s="4">
        <f>+K23-K24</f>
        <v>-677</v>
      </c>
      <c r="L25" s="4">
        <f>+L23-L24</f>
        <v>304</v>
      </c>
      <c r="P25" s="2">
        <f t="shared" ref="P25:S25" si="9">+P23-P24</f>
        <v>2770</v>
      </c>
      <c r="Q25" s="2">
        <f t="shared" si="9"/>
        <v>6349</v>
      </c>
      <c r="R25" s="2">
        <f t="shared" si="9"/>
        <v>8735</v>
      </c>
      <c r="S25" s="2">
        <f t="shared" si="9"/>
        <v>-5662</v>
      </c>
    </row>
    <row r="26" spans="2:19" x14ac:dyDescent="0.2">
      <c r="B26" s="2" t="s">
        <v>19</v>
      </c>
      <c r="E26" s="6">
        <f t="shared" ref="E26:L26" si="10">+E25/E27</f>
        <v>1.3535262206148282</v>
      </c>
      <c r="F26" s="6">
        <f t="shared" si="10"/>
        <v>-0.24657534246575341</v>
      </c>
      <c r="G26" s="6">
        <f t="shared" si="10"/>
        <v>-2.0174152153987168</v>
      </c>
      <c r="H26" s="6" t="e">
        <f t="shared" si="10"/>
        <v>#DIV/0!</v>
      </c>
      <c r="I26" s="6">
        <f t="shared" si="10"/>
        <v>-1.2538812785388127</v>
      </c>
      <c r="J26" s="6">
        <f t="shared" si="10"/>
        <v>-1.1490909090909092</v>
      </c>
      <c r="K26" s="6">
        <f t="shared" si="10"/>
        <v>-0.6077199281867145</v>
      </c>
      <c r="L26" s="6">
        <f t="shared" si="10"/>
        <v>0.27070347284060553</v>
      </c>
      <c r="P26" s="1">
        <f t="shared" ref="P26:S26" si="11">+P25/P27</f>
        <v>2.4491600353669321</v>
      </c>
      <c r="Q26" s="1">
        <f t="shared" si="11"/>
        <v>5.5644171779141107</v>
      </c>
      <c r="R26" s="1">
        <f t="shared" si="11"/>
        <v>7.785204991087344</v>
      </c>
      <c r="S26" s="1">
        <f t="shared" si="11"/>
        <v>-5.1802378774016464</v>
      </c>
    </row>
    <row r="27" spans="2:19" x14ac:dyDescent="0.2">
      <c r="B27" s="2" t="s">
        <v>1</v>
      </c>
      <c r="E27" s="4">
        <v>1106</v>
      </c>
      <c r="F27" s="4">
        <v>1095</v>
      </c>
      <c r="G27" s="4">
        <v>1091</v>
      </c>
      <c r="I27" s="4">
        <v>1095</v>
      </c>
      <c r="J27" s="4">
        <v>1100</v>
      </c>
      <c r="K27" s="4">
        <v>1114</v>
      </c>
      <c r="L27" s="4">
        <v>1123</v>
      </c>
      <c r="P27" s="2">
        <v>1131</v>
      </c>
      <c r="Q27" s="2">
        <v>1141</v>
      </c>
      <c r="R27" s="2">
        <v>1122</v>
      </c>
      <c r="S27" s="2">
        <v>1093</v>
      </c>
    </row>
    <row r="30" spans="2:19" s="16" customFormat="1" x14ac:dyDescent="0.2">
      <c r="B30" s="7" t="s">
        <v>29</v>
      </c>
      <c r="C30" s="15"/>
      <c r="D30" s="15"/>
      <c r="E30" s="15"/>
      <c r="F30" s="15"/>
      <c r="G30" s="15"/>
      <c r="H30" s="15"/>
      <c r="I30" s="10">
        <f>+I10/E10-1</f>
        <v>-0.39635706758994427</v>
      </c>
      <c r="J30" s="10">
        <f>+J10/F10-1</f>
        <v>0.1569155446756425</v>
      </c>
      <c r="K30" s="10">
        <f>+K10/G10-1</f>
        <v>0.57703763877606273</v>
      </c>
      <c r="L30" s="10">
        <f>+L10/H10-1</f>
        <v>0.81529850746268662</v>
      </c>
      <c r="M30" s="10">
        <f>+M10/I10-1</f>
        <v>0.89526184538653375</v>
      </c>
      <c r="N30" s="10"/>
      <c r="P30" s="17"/>
      <c r="Q30" s="17">
        <f t="shared" ref="Q30:S30" si="12">+Q10/P10-1</f>
        <v>0.29251224632610207</v>
      </c>
      <c r="R30" s="17">
        <f t="shared" si="12"/>
        <v>0.11019671539433307</v>
      </c>
      <c r="S30" s="17">
        <f t="shared" si="12"/>
        <v>-0.4947655894401457</v>
      </c>
    </row>
    <row r="31" spans="2:19" x14ac:dyDescent="0.2">
      <c r="B31" s="2" t="s">
        <v>28</v>
      </c>
      <c r="E31" s="5">
        <f t="shared" ref="E31:L31" si="13">+E12/E10</f>
        <v>0.39470118922173719</v>
      </c>
      <c r="F31" s="5">
        <f t="shared" si="13"/>
        <v>0.21860465116279071</v>
      </c>
      <c r="G31" s="10">
        <f t="shared" si="13"/>
        <v>-0.32656376929325753</v>
      </c>
      <c r="H31" s="10">
        <f t="shared" si="13"/>
        <v>-0.17803837953091683</v>
      </c>
      <c r="I31" s="10">
        <f t="shared" si="13"/>
        <v>-0.10847880299251871</v>
      </c>
      <c r="J31" s="10">
        <f t="shared" si="13"/>
        <v>-7.4058400338552688E-3</v>
      </c>
      <c r="K31" s="5">
        <f t="shared" si="13"/>
        <v>0.18526785714285715</v>
      </c>
      <c r="L31" s="5">
        <f t="shared" si="13"/>
        <v>0.26897665541036558</v>
      </c>
      <c r="P31" s="5">
        <f t="shared" ref="P31:S31" si="14">+P12/P10</f>
        <v>0.30566829951014696</v>
      </c>
      <c r="Q31" s="5">
        <f t="shared" si="14"/>
        <v>0.37621367984118392</v>
      </c>
      <c r="R31" s="5">
        <f t="shared" si="14"/>
        <v>0.45184992522270628</v>
      </c>
      <c r="S31" s="5">
        <f t="shared" si="14"/>
        <v>-9.1119691119691121E-2</v>
      </c>
    </row>
    <row r="33" spans="2:19" x14ac:dyDescent="0.2">
      <c r="B33" t="s">
        <v>31</v>
      </c>
      <c r="J33" s="8">
        <f>+J25</f>
        <v>-1264</v>
      </c>
      <c r="K33" s="8">
        <f>+K25</f>
        <v>-677</v>
      </c>
      <c r="L33" s="8">
        <f>+L25</f>
        <v>304</v>
      </c>
    </row>
    <row r="34" spans="2:19" x14ac:dyDescent="0.2">
      <c r="B34" t="s">
        <v>32</v>
      </c>
      <c r="J34" s="4">
        <v>-1234</v>
      </c>
      <c r="K34" s="4">
        <f>-441-J34</f>
        <v>793</v>
      </c>
      <c r="L34" s="4">
        <f>-109-K34-J34</f>
        <v>332</v>
      </c>
    </row>
    <row r="35" spans="2:19" x14ac:dyDescent="0.2">
      <c r="B35" t="s">
        <v>33</v>
      </c>
      <c r="J35" s="4">
        <v>1915</v>
      </c>
      <c r="K35" s="4">
        <f>3839-J35</f>
        <v>1924</v>
      </c>
      <c r="L35" s="4">
        <f>5794-K35-J35</f>
        <v>1955</v>
      </c>
    </row>
    <row r="36" spans="2:19" x14ac:dyDescent="0.2">
      <c r="B36" t="s">
        <v>34</v>
      </c>
      <c r="J36" s="4">
        <v>188</v>
      </c>
      <c r="K36" s="4">
        <f>401-J36</f>
        <v>213</v>
      </c>
      <c r="L36" s="4">
        <f>620-K36-J36</f>
        <v>219</v>
      </c>
    </row>
    <row r="37" spans="2:19" x14ac:dyDescent="0.2">
      <c r="B37" t="s">
        <v>35</v>
      </c>
      <c r="J37" s="4">
        <f>-501+111+271+579+72</f>
        <v>532</v>
      </c>
      <c r="K37" s="4">
        <f>-1759-57-799+573+706+157-J37</f>
        <v>-1711</v>
      </c>
      <c r="L37" s="4">
        <f>-2562-125-435+846+769+304-K37-J37</f>
        <v>-24</v>
      </c>
    </row>
    <row r="38" spans="2:19" x14ac:dyDescent="0.2">
      <c r="B38" t="s">
        <v>36</v>
      </c>
      <c r="J38" s="4">
        <f>SUM(J34:J37)</f>
        <v>1401</v>
      </c>
      <c r="K38" s="4">
        <f>SUM(K34:K37)</f>
        <v>1219</v>
      </c>
      <c r="L38" s="4">
        <f>SUM(L34:L37)</f>
        <v>2482</v>
      </c>
      <c r="P38" s="2">
        <v>8306</v>
      </c>
      <c r="Q38" s="2">
        <v>12468</v>
      </c>
      <c r="R38" s="2">
        <v>15181</v>
      </c>
      <c r="S38" s="2">
        <v>1559</v>
      </c>
    </row>
    <row r="39" spans="2:19" x14ac:dyDescent="0.2">
      <c r="J39" s="4"/>
      <c r="K39" s="4"/>
      <c r="P39" s="2"/>
      <c r="Q39" s="2"/>
      <c r="R39" s="2"/>
      <c r="S39" s="2"/>
    </row>
    <row r="40" spans="2:19" x14ac:dyDescent="0.2">
      <c r="B40" t="s">
        <v>48</v>
      </c>
      <c r="J40" s="4">
        <v>-1796</v>
      </c>
      <c r="K40" s="4">
        <f>-3180-J40</f>
        <v>-1384</v>
      </c>
      <c r="L40" s="4">
        <f>-5266-K40-J40</f>
        <v>-2086</v>
      </c>
      <c r="P40" s="2">
        <v>-8223</v>
      </c>
      <c r="Q40" s="2">
        <v>-10030</v>
      </c>
      <c r="R40" s="2">
        <v>-12067</v>
      </c>
      <c r="S40" s="2">
        <v>-7676</v>
      </c>
    </row>
    <row r="41" spans="2:19" x14ac:dyDescent="0.2">
      <c r="B41" t="s">
        <v>39</v>
      </c>
      <c r="J41" s="4">
        <f>-199+374</f>
        <v>175</v>
      </c>
      <c r="K41" s="4">
        <f>-465-J41+726</f>
        <v>86</v>
      </c>
      <c r="L41" s="4">
        <f>-1110+1433-K41-J41</f>
        <v>62</v>
      </c>
    </row>
    <row r="42" spans="2:19" x14ac:dyDescent="0.2">
      <c r="B42" t="s">
        <v>40</v>
      </c>
      <c r="J42" s="4">
        <v>85</v>
      </c>
      <c r="K42" s="4">
        <f>234-J42</f>
        <v>149</v>
      </c>
      <c r="L42" s="4">
        <f>267-K42-J42</f>
        <v>33</v>
      </c>
    </row>
    <row r="43" spans="2:19" x14ac:dyDescent="0.2">
      <c r="B43" t="s">
        <v>41</v>
      </c>
      <c r="J43" s="4">
        <v>-22</v>
      </c>
      <c r="K43" s="4">
        <f>-24-J43</f>
        <v>-2</v>
      </c>
      <c r="L43" s="4">
        <f>-35-K43-J43</f>
        <v>-11</v>
      </c>
    </row>
    <row r="44" spans="2:19" x14ac:dyDescent="0.2">
      <c r="B44" t="s">
        <v>38</v>
      </c>
      <c r="J44" s="4">
        <f>SUM(J40:J43)</f>
        <v>-1558</v>
      </c>
      <c r="K44" s="4">
        <f>SUM(K40:K43)</f>
        <v>-1151</v>
      </c>
      <c r="L44" s="4">
        <f>SUM(L40:L43)</f>
        <v>-2002</v>
      </c>
    </row>
    <row r="45" spans="2:19" x14ac:dyDescent="0.2">
      <c r="J45" s="4"/>
      <c r="K45" s="4"/>
    </row>
    <row r="46" spans="2:19" x14ac:dyDescent="0.2">
      <c r="B46" t="s">
        <v>43</v>
      </c>
      <c r="J46" s="4">
        <v>-129</v>
      </c>
      <c r="K46" s="4">
        <f>-256-J46</f>
        <v>-127</v>
      </c>
      <c r="L46" s="4">
        <f>-384-K46-J46</f>
        <v>-128</v>
      </c>
    </row>
    <row r="47" spans="2:19" x14ac:dyDescent="0.2">
      <c r="B47" t="s">
        <v>42</v>
      </c>
      <c r="J47" s="4">
        <v>-56</v>
      </c>
      <c r="K47" s="4">
        <f>-82-J47</f>
        <v>-26</v>
      </c>
      <c r="L47" s="4">
        <f>-127-K47-J47</f>
        <v>-45</v>
      </c>
    </row>
    <row r="48" spans="2:19" x14ac:dyDescent="0.2">
      <c r="B48" t="s">
        <v>4</v>
      </c>
      <c r="J48" s="4">
        <v>-53</v>
      </c>
      <c r="K48" s="4">
        <f>-1101-J48+999</f>
        <v>-49</v>
      </c>
      <c r="L48" s="4">
        <f>999-1816-K48-J48</f>
        <v>-715</v>
      </c>
    </row>
    <row r="49" spans="2:20" x14ac:dyDescent="0.2">
      <c r="B49" t="s">
        <v>41</v>
      </c>
      <c r="J49" s="4">
        <v>-114</v>
      </c>
      <c r="K49" s="4">
        <f>-18-J49</f>
        <v>96</v>
      </c>
      <c r="L49" s="4">
        <f>-40-K49-J49</f>
        <v>-22</v>
      </c>
    </row>
    <row r="50" spans="2:20" x14ac:dyDescent="0.2">
      <c r="B50" t="s">
        <v>46</v>
      </c>
      <c r="J50" s="4">
        <f>SUM(J46:J49)</f>
        <v>-352</v>
      </c>
      <c r="K50" s="4">
        <f>SUM(K46:K49)</f>
        <v>-106</v>
      </c>
      <c r="L50" s="4">
        <f>SUM(L46:L49)</f>
        <v>-910</v>
      </c>
    </row>
    <row r="51" spans="2:20" x14ac:dyDescent="0.2">
      <c r="B51" t="s">
        <v>45</v>
      </c>
      <c r="J51" s="4">
        <v>-1</v>
      </c>
      <c r="K51" s="4">
        <f>-8-J51</f>
        <v>-7</v>
      </c>
      <c r="L51" s="4">
        <f>-15-K51-J51</f>
        <v>-7</v>
      </c>
    </row>
    <row r="52" spans="2:20" x14ac:dyDescent="0.2">
      <c r="B52" t="s">
        <v>44</v>
      </c>
      <c r="J52" s="4">
        <f>J51+J50+J44+J38</f>
        <v>-510</v>
      </c>
      <c r="K52" s="4">
        <f>K51+K50+K44+K38</f>
        <v>-45</v>
      </c>
      <c r="L52" s="4">
        <f>L51+L50+L44+L38</f>
        <v>-437</v>
      </c>
    </row>
    <row r="54" spans="2:20" x14ac:dyDescent="0.2">
      <c r="B54" t="s">
        <v>47</v>
      </c>
      <c r="J54" s="4">
        <f>+J38+J40</f>
        <v>-395</v>
      </c>
      <c r="K54" s="4">
        <f>+K38+K40</f>
        <v>-165</v>
      </c>
      <c r="L54" s="4">
        <f>+L38+L40</f>
        <v>396</v>
      </c>
      <c r="P54" s="7">
        <f t="shared" ref="P54" si="15">+P38+P40</f>
        <v>83</v>
      </c>
      <c r="Q54" s="7">
        <f>+Q38+Q40</f>
        <v>2438</v>
      </c>
      <c r="R54" s="7">
        <f>+R38+R40</f>
        <v>3114</v>
      </c>
      <c r="S54" s="7">
        <f>+S38+S40</f>
        <v>-6117</v>
      </c>
      <c r="T54" s="7">
        <f>SUM(J54:L54)</f>
        <v>-164</v>
      </c>
    </row>
    <row r="55" spans="2:20" x14ac:dyDescent="0.2">
      <c r="B55" t="s">
        <v>68</v>
      </c>
      <c r="P55" s="2" t="e">
        <f>+P54+#REF!</f>
        <v>#REF!</v>
      </c>
      <c r="Q55" s="2">
        <f t="shared" ref="Q55:T55" si="16">+Q54+P54</f>
        <v>2521</v>
      </c>
      <c r="R55" s="2">
        <f t="shared" si="16"/>
        <v>5552</v>
      </c>
      <c r="S55" s="2">
        <f t="shared" si="16"/>
        <v>-3003</v>
      </c>
      <c r="T55" s="2">
        <f t="shared" si="16"/>
        <v>-6281</v>
      </c>
    </row>
    <row r="56" spans="2:20" x14ac:dyDescent="0.2">
      <c r="B56" t="s">
        <v>69</v>
      </c>
      <c r="P56" s="2">
        <f>SUM(P54:P54)</f>
        <v>83</v>
      </c>
      <c r="Q56" s="2">
        <f>SUM(P54:Q54)</f>
        <v>2521</v>
      </c>
      <c r="R56" s="2">
        <f t="shared" ref="R56:T56" si="17">SUM(P54:R54)</f>
        <v>5635</v>
      </c>
      <c r="S56" s="2">
        <f t="shared" si="17"/>
        <v>-565</v>
      </c>
      <c r="T56" s="2">
        <f t="shared" si="17"/>
        <v>-3167</v>
      </c>
    </row>
    <row r="57" spans="2:20" x14ac:dyDescent="0.2">
      <c r="B57" t="s">
        <v>70</v>
      </c>
      <c r="P57" s="2">
        <f>SUM(P54:P54)</f>
        <v>83</v>
      </c>
      <c r="Q57" s="2">
        <f>SUM(P54:Q54)</f>
        <v>2521</v>
      </c>
      <c r="R57" s="2">
        <f>SUM(P54:R54)</f>
        <v>5635</v>
      </c>
      <c r="S57" s="2">
        <f t="shared" ref="S57:T57" si="18">SUM(P54:S54)</f>
        <v>-482</v>
      </c>
      <c r="T57" s="2">
        <f t="shared" si="18"/>
        <v>-729</v>
      </c>
    </row>
    <row r="58" spans="2:20" x14ac:dyDescent="0.2">
      <c r="B58" t="s">
        <v>71</v>
      </c>
      <c r="P58" s="2">
        <f>SUM(P54:P54)</f>
        <v>83</v>
      </c>
      <c r="Q58" s="2">
        <f>SUM(P54:Q54)</f>
        <v>2521</v>
      </c>
      <c r="R58" s="2">
        <f>SUM(P54:R54)</f>
        <v>5635</v>
      </c>
      <c r="S58" s="2">
        <f>SUM(P54:S54)</f>
        <v>-482</v>
      </c>
      <c r="T58" s="2">
        <f>SUM(P54:T54)</f>
        <v>-646</v>
      </c>
    </row>
    <row r="59" spans="2:20" x14ac:dyDescent="0.2">
      <c r="B59" t="s">
        <v>72</v>
      </c>
      <c r="P59" s="2">
        <f>SUM(P54:P54)</f>
        <v>83</v>
      </c>
      <c r="Q59" s="2">
        <f>SUM(P54:Q54)</f>
        <v>2521</v>
      </c>
      <c r="R59" s="2">
        <f>SUM(P54:R54)</f>
        <v>5635</v>
      </c>
      <c r="S59" s="2">
        <f>SUM(P54:S54)</f>
        <v>-482</v>
      </c>
      <c r="T59" s="2">
        <f>SUM(P54:T54)</f>
        <v>-646</v>
      </c>
    </row>
    <row r="60" spans="2:20" x14ac:dyDescent="0.2">
      <c r="B60" t="s">
        <v>73</v>
      </c>
      <c r="P60" s="2">
        <f>SUM(P54:P54)</f>
        <v>83</v>
      </c>
      <c r="Q60" s="2">
        <f>SUM(P54:Q54)</f>
        <v>2521</v>
      </c>
      <c r="R60" s="2">
        <f>SUM(P54:R54)</f>
        <v>5635</v>
      </c>
      <c r="S60" s="2">
        <f>SUM(P54:S54)</f>
        <v>-482</v>
      </c>
      <c r="T60" s="2">
        <f>SUM(P54:T54)</f>
        <v>-646</v>
      </c>
    </row>
    <row r="63" spans="2:20" x14ac:dyDescent="0.2">
      <c r="B63" t="s">
        <v>74</v>
      </c>
      <c r="P63">
        <v>75.180000000000007</v>
      </c>
      <c r="Q63">
        <v>93.15</v>
      </c>
      <c r="R63">
        <v>49.98</v>
      </c>
      <c r="S63" s="1">
        <v>85.34</v>
      </c>
      <c r="T63" s="1">
        <v>90</v>
      </c>
    </row>
    <row r="65" spans="2:20" x14ac:dyDescent="0.2">
      <c r="B65" t="s">
        <v>75</v>
      </c>
      <c r="P65" s="2">
        <f t="shared" ref="P65:T65" si="19">P10/P63</f>
        <v>285.11572226656023</v>
      </c>
      <c r="Q65" s="2">
        <f t="shared" si="19"/>
        <v>297.42351046698872</v>
      </c>
      <c r="R65" s="2">
        <f t="shared" si="19"/>
        <v>615.40616246498598</v>
      </c>
      <c r="S65" s="2">
        <f t="shared" si="19"/>
        <v>182.09514881649869</v>
      </c>
      <c r="T65" s="2">
        <f t="shared" si="19"/>
        <v>277.34444444444443</v>
      </c>
    </row>
  </sheetData>
  <phoneticPr fontId="4" type="noConversion"/>
  <hyperlinks>
    <hyperlink ref="A1" location="Main!A1" display="Main" xr:uid="{8500311A-A2A0-4708-A1FC-B4D34FF7D08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2024-09-19T15:33:44Z</dcterms:created>
  <dcterms:modified xsi:type="dcterms:W3CDTF">2025-10-14T14:28:12Z</dcterms:modified>
</cp:coreProperties>
</file>