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E1B46D7-4C3D-4E35-96E1-7DB69EBFE563}" xr6:coauthVersionLast="47" xr6:coauthVersionMax="47" xr10:uidLastSave="{00000000-0000-0000-0000-000000000000}"/>
  <bookViews>
    <workbookView xWindow="3885" yWindow="3885" windowWidth="18075" windowHeight="16020" activeTab="1" xr2:uid="{75CAC307-FAB2-4E5B-9E86-2212ECF6A0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2" l="1"/>
  <c r="Z23" i="2"/>
  <c r="Y23" i="2"/>
  <c r="N13" i="2"/>
  <c r="N8" i="2"/>
  <c r="AA8" i="2" s="1"/>
  <c r="N7" i="2"/>
  <c r="AA7" i="2" s="1"/>
  <c r="AB7" i="2" s="1"/>
  <c r="AC7" i="2" s="1"/>
  <c r="AD7" i="2" s="1"/>
  <c r="AE7" i="2" s="1"/>
  <c r="AF7" i="2" s="1"/>
  <c r="AG7" i="2" s="1"/>
  <c r="N6" i="2"/>
  <c r="N4" i="2"/>
  <c r="N3" i="2"/>
  <c r="N18" i="2" s="1"/>
  <c r="M11" i="2"/>
  <c r="N11" i="2" s="1"/>
  <c r="M5" i="2"/>
  <c r="AB21" i="2"/>
  <c r="AC21" i="2" s="1"/>
  <c r="AD21" i="2" s="1"/>
  <c r="AE21" i="2" s="1"/>
  <c r="AF21" i="2" s="1"/>
  <c r="AG21" i="2" s="1"/>
  <c r="AA6" i="2"/>
  <c r="AB6" i="2" s="1"/>
  <c r="AC6" i="2" s="1"/>
  <c r="AD6" i="2" s="1"/>
  <c r="J19" i="2"/>
  <c r="I19" i="2"/>
  <c r="W18" i="2"/>
  <c r="V11" i="2"/>
  <c r="V9" i="2"/>
  <c r="V5" i="2"/>
  <c r="V19" i="2" s="1"/>
  <c r="Z19" i="2"/>
  <c r="Y19" i="2"/>
  <c r="X18" i="2"/>
  <c r="W11" i="2"/>
  <c r="W9" i="2"/>
  <c r="W5" i="2"/>
  <c r="W19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Y18" i="2"/>
  <c r="X11" i="2"/>
  <c r="X9" i="2"/>
  <c r="X5" i="2"/>
  <c r="X19" i="2" s="1"/>
  <c r="Z18" i="2"/>
  <c r="Z13" i="2"/>
  <c r="Z5" i="2"/>
  <c r="Z8" i="2"/>
  <c r="Z7" i="2"/>
  <c r="Z6" i="2"/>
  <c r="Y9" i="2"/>
  <c r="Y5" i="2"/>
  <c r="I18" i="2"/>
  <c r="J18" i="2"/>
  <c r="F11" i="2"/>
  <c r="F9" i="2"/>
  <c r="F5" i="2"/>
  <c r="H21" i="2"/>
  <c r="I21" i="2" s="1"/>
  <c r="E11" i="2"/>
  <c r="E9" i="2"/>
  <c r="E5" i="2"/>
  <c r="K18" i="2"/>
  <c r="L18" i="2"/>
  <c r="I11" i="2"/>
  <c r="I9" i="2"/>
  <c r="I5" i="2"/>
  <c r="J11" i="2"/>
  <c r="J9" i="2"/>
  <c r="J5" i="2"/>
  <c r="G11" i="2"/>
  <c r="G9" i="2"/>
  <c r="G5" i="2"/>
  <c r="L21" i="2"/>
  <c r="L22" i="2"/>
  <c r="H22" i="2"/>
  <c r="I22" i="2" s="1"/>
  <c r="J22" i="2" s="1"/>
  <c r="G23" i="2"/>
  <c r="K23" i="2"/>
  <c r="K11" i="2"/>
  <c r="K9" i="2"/>
  <c r="K5" i="2"/>
  <c r="K19" i="2" s="1"/>
  <c r="H11" i="2"/>
  <c r="H9" i="2"/>
  <c r="H5" i="2"/>
  <c r="L11" i="2"/>
  <c r="L9" i="2"/>
  <c r="L5" i="2"/>
  <c r="L19" i="2" s="1"/>
  <c r="N5" i="1"/>
  <c r="N4" i="1"/>
  <c r="N7" i="1" s="1"/>
  <c r="N3" i="1"/>
  <c r="N5" i="2" l="1"/>
  <c r="N19" i="2"/>
  <c r="N9" i="2"/>
  <c r="N10" i="2" s="1"/>
  <c r="AA13" i="2"/>
  <c r="M19" i="2"/>
  <c r="AA9" i="2"/>
  <c r="AA11" i="2"/>
  <c r="AB11" i="2" s="1"/>
  <c r="AC11" i="2" s="1"/>
  <c r="AD11" i="2" s="1"/>
  <c r="AE11" i="2" s="1"/>
  <c r="AF11" i="2" s="1"/>
  <c r="AG11" i="2" s="1"/>
  <c r="AA16" i="2"/>
  <c r="AB16" i="2" s="1"/>
  <c r="AC16" i="2" s="1"/>
  <c r="AD16" i="2" s="1"/>
  <c r="AE16" i="2" s="1"/>
  <c r="AF16" i="2" s="1"/>
  <c r="AG16" i="2" s="1"/>
  <c r="M9" i="2"/>
  <c r="M10" i="2" s="1"/>
  <c r="M12" i="2" s="1"/>
  <c r="M14" i="2" s="1"/>
  <c r="M15" i="2" s="1"/>
  <c r="AE6" i="2"/>
  <c r="V10" i="2"/>
  <c r="V12" i="2" s="1"/>
  <c r="V14" i="2" s="1"/>
  <c r="V15" i="2" s="1"/>
  <c r="W10" i="2"/>
  <c r="W12" i="2" s="1"/>
  <c r="W14" i="2" s="1"/>
  <c r="W15" i="2" s="1"/>
  <c r="Y10" i="2"/>
  <c r="Y12" i="2" s="1"/>
  <c r="Y14" i="2" s="1"/>
  <c r="Y15" i="2" s="1"/>
  <c r="Z11" i="2"/>
  <c r="AA3" i="2"/>
  <c r="L10" i="2"/>
  <c r="M18" i="2"/>
  <c r="X10" i="2"/>
  <c r="X12" i="2" s="1"/>
  <c r="X14" i="2" s="1"/>
  <c r="X15" i="2" s="1"/>
  <c r="L12" i="2"/>
  <c r="L14" i="2" s="1"/>
  <c r="L15" i="2" s="1"/>
  <c r="Z9" i="2"/>
  <c r="Z10" i="2" s="1"/>
  <c r="F10" i="2"/>
  <c r="F12" i="2" s="1"/>
  <c r="F14" i="2" s="1"/>
  <c r="F15" i="2" s="1"/>
  <c r="E10" i="2"/>
  <c r="E12" i="2" s="1"/>
  <c r="E14" i="2" s="1"/>
  <c r="E15" i="2" s="1"/>
  <c r="I23" i="2"/>
  <c r="J21" i="2"/>
  <c r="J23" i="2" s="1"/>
  <c r="I10" i="2"/>
  <c r="I12" i="2" s="1"/>
  <c r="I14" i="2" s="1"/>
  <c r="I15" i="2" s="1"/>
  <c r="J10" i="2"/>
  <c r="J12" i="2" s="1"/>
  <c r="J14" i="2" s="1"/>
  <c r="J15" i="2" s="1"/>
  <c r="G10" i="2"/>
  <c r="G12" i="2" s="1"/>
  <c r="G14" i="2" s="1"/>
  <c r="G15" i="2" s="1"/>
  <c r="H23" i="2"/>
  <c r="L23" i="2"/>
  <c r="K10" i="2"/>
  <c r="K12" i="2" s="1"/>
  <c r="K14" i="2" s="1"/>
  <c r="K15" i="2" s="1"/>
  <c r="H10" i="2"/>
  <c r="H12" i="2" s="1"/>
  <c r="H14" i="2" s="1"/>
  <c r="H15" i="2" s="1"/>
  <c r="AA4" i="2" l="1"/>
  <c r="AA5" i="2" s="1"/>
  <c r="AA19" i="2" s="1"/>
  <c r="N12" i="2"/>
  <c r="N14" i="2" s="1"/>
  <c r="N15" i="2" s="1"/>
  <c r="Z12" i="2"/>
  <c r="Z14" i="2" s="1"/>
  <c r="Z15" i="2" s="1"/>
  <c r="AA18" i="2"/>
  <c r="AB3" i="2"/>
  <c r="AF6" i="2"/>
  <c r="AB8" i="2" l="1"/>
  <c r="AB9" i="2" s="1"/>
  <c r="AB5" i="2"/>
  <c r="AB19" i="2" s="1"/>
  <c r="AB18" i="2"/>
  <c r="AC3" i="2"/>
  <c r="AA10" i="2"/>
  <c r="AA12" i="2" s="1"/>
  <c r="AG6" i="2"/>
  <c r="AA14" i="2" l="1"/>
  <c r="AA15" i="2" s="1"/>
  <c r="AB10" i="2"/>
  <c r="AB12" i="2" s="1"/>
  <c r="AC8" i="2"/>
  <c r="AC9" i="2" s="1"/>
  <c r="AC5" i="2"/>
  <c r="AC19" i="2" s="1"/>
  <c r="AC18" i="2"/>
  <c r="AD3" i="2"/>
  <c r="AB4" i="2"/>
  <c r="AC10" i="2" l="1"/>
  <c r="AC12" i="2" s="1"/>
  <c r="AC13" i="2" s="1"/>
  <c r="AC14" i="2" s="1"/>
  <c r="AC15" i="2" s="1"/>
  <c r="AE3" i="2"/>
  <c r="AD8" i="2"/>
  <c r="AD9" i="2" s="1"/>
  <c r="AD5" i="2"/>
  <c r="AD19" i="2" s="1"/>
  <c r="AD18" i="2"/>
  <c r="AC4" i="2"/>
  <c r="AB13" i="2"/>
  <c r="AB14" i="2" s="1"/>
  <c r="AB15" i="2" s="1"/>
  <c r="AD10" i="2" l="1"/>
  <c r="AD12" i="2" s="1"/>
  <c r="AD13" i="2"/>
  <c r="AD14" i="2" s="1"/>
  <c r="AD15" i="2" s="1"/>
  <c r="AD4" i="2"/>
  <c r="AF3" i="2"/>
  <c r="AE5" i="2"/>
  <c r="AE19" i="2" s="1"/>
  <c r="AE8" i="2"/>
  <c r="AE9" i="2" s="1"/>
  <c r="AE10" i="2" s="1"/>
  <c r="AE12" i="2" s="1"/>
  <c r="AE18" i="2"/>
  <c r="AE13" i="2" l="1"/>
  <c r="AE14" i="2" s="1"/>
  <c r="AE15" i="2" s="1"/>
  <c r="AE4" i="2"/>
  <c r="AG3" i="2"/>
  <c r="AF8" i="2"/>
  <c r="AF9" i="2" s="1"/>
  <c r="AF5" i="2"/>
  <c r="AF19" i="2" s="1"/>
  <c r="AF18" i="2"/>
  <c r="AF10" i="2" l="1"/>
  <c r="AF12" i="2" s="1"/>
  <c r="AG8" i="2"/>
  <c r="AG9" i="2" s="1"/>
  <c r="AG5" i="2"/>
  <c r="AG18" i="2"/>
  <c r="AF13" i="2"/>
  <c r="AF14" i="2" s="1"/>
  <c r="AF15" i="2" s="1"/>
  <c r="AF4" i="2"/>
  <c r="AG19" i="2" l="1"/>
  <c r="AG10" i="2"/>
  <c r="AG4" i="2"/>
  <c r="AG12" i="2"/>
  <c r="AG13" i="2" l="1"/>
  <c r="AG14" i="2" s="1"/>
  <c r="AG15" i="2" s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<sst xmlns="http://schemas.openxmlformats.org/spreadsheetml/2006/main" count="48" uniqueCount="44">
  <si>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</si>
  <si>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</si>
  <si>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</si>
  <si>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</si>
  <si>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</si>
  <si>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</si>
  <si>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</si>
  <si>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</si>
  <si>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</si>
  <si>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</si>
  <si>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</si>
  <si>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</si>
  <si>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</si>
  <si>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</si>
  <si>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</si>
  <si>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</si>
  <si>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</si>
  <si>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</si>
  <si>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</si>
  <si>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</si>
  <si>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</si>
  <si>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</si>
  <si>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</si>
  <si>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</si>
  <si>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</si>
  <si>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</si>
  <si>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</si>
  <si>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</si>
  <si>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</si>
  <si>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</si>
  <si>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</si>
  <si>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</si>
  <si>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</si>
  <si>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CapEx</t>
  </si>
  <si>
    <t>FCF</t>
  </si>
  <si>
    <t>Founded: 2009</t>
  </si>
  <si>
    <t>Revenue y/y</t>
  </si>
  <si>
    <t>Gross Margin</t>
  </si>
  <si>
    <t>SBC</t>
  </si>
  <si>
    <t>Q125</t>
  </si>
  <si>
    <t>Q225</t>
  </si>
  <si>
    <t>Q325</t>
  </si>
  <si>
    <t>Q425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</si>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</sst>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409A34-AEC3-469C-A0C2-0BBF777ED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36972</xdr:colOff>
      <xdr:row>0</xdr:row>
      <xdr:rowOff>0</xdr:rowOff>
    </xdr:from>
    <xdr:to>
      <xdr:col>14</xdr:col>
      <xdr:colOff>36972</xdr:colOff>
      <xdr:row>29</xdr:row>
      <xdr:rowOff>145695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DA88FA-274C-60C8-AD01-83F9CF8B5586}"/>
            </a:ext>
          </a:extLst>
        </xdr:cNvPr>
        <xdr:cNvCxnSpPr/>
      </xdr:nvCxnSpPr>
      <xdr:spPr>
        <a:xfrm>
          <a:off x="8865456" y="0"/>
          <a:ext cx="0" cy="46462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22058</xdr:colOff>
      <xdr:row>0</xdr:row>
      <xdr:rowOff>0</xdr:rowOff>
    </xdr:from>
    <xdr:to>
      <xdr:col>26</xdr:col>
      <xdr:colOff>22058</xdr:colOff>
      <xdr:row>44</xdr:row>
      <xdr:rowOff>11906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77D114-40D9-42FB-9A7A-44B24ADB502B}"/>
            </a:ext>
          </a:extLst>
        </xdr:cNvPr>
        <xdr:cNvCxnSpPr/>
      </xdr:nvCxnSpPr>
      <xdr:spPr>
        <a:xfrm>
          <a:off x="16137167" y="0"/>
          <a:ext cx="0" cy="70842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B0B1-7309-4A06-ABC1-2AAFE83796AB}">
  <dimension ref="M2:O9"/>
  <sheetViews>
    <sheetView zoomScaleNormal="100" workbookViewId="0">
      <selection activeCell="O7" sqref="O7"/>
    </sheetView>
  </sheetViews>
  <sheetFormatPr defaultRowHeight="12.75" x14ac:dyDescent="0.2"/>
  <sheetData>
    <row r="2" spans="13:15" x14ac:dyDescent="0.2">
      <c r="M2" t="s">
        <v>0</v>
      </c>
      <c r="N2" s="1">
        <v>147</v>
      </c>
    </row>
    <row r="3" spans="13:15" x14ac:dyDescent="0.2">
      <c r="M3" t="s">
        <v>1</v>
      </c>
      <c r="N3" s="2">
        <f>303.675639+38.027095</f>
        <v>341.70273399999996</v>
      </c>
      <c r="O3" s="3" t="s">
        <v>6</v>
      </c>
    </row>
    <row r="4" spans="13:15" x14ac:dyDescent="0.2">
      <c r="M4" t="s">
        <v>2</v>
      </c>
      <c r="N4" s="2">
        <f>+N2*N3</f>
        <v>50230.301897999998</v>
      </c>
    </row>
    <row r="5" spans="13:15" x14ac:dyDescent="0.2">
      <c r="M5" t="s">
        <v>3</v>
      </c>
      <c r="N5" s="2">
        <f>156.967+1600.43</f>
        <v>1757.3970000000002</v>
      </c>
      <c r="O5" s="3" t="s">
        <v>6</v>
      </c>
    </row>
    <row r="6" spans="13:15" x14ac:dyDescent="0.2">
      <c r="M6" t="s">
        <v>4</v>
      </c>
      <c r="N6" s="2">
        <v>1285.3420000000001</v>
      </c>
      <c r="O6" s="3" t="s">
        <v>6</v>
      </c>
    </row>
    <row r="7" spans="13:15" x14ac:dyDescent="0.2">
      <c r="M7" t="s">
        <v>5</v>
      </c>
      <c r="N7" s="2">
        <f>+N4-N5+N6</f>
        <v>49758.246897999998</v>
      </c>
    </row>
    <row r="9" spans="13:15" x14ac:dyDescent="0.2">
      <c r="M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29B1-4FD7-4C00-85AF-3C368E834D1C}">
  <dimension ref="A1:AL26"/>
  <sheetViews>
    <sheetView tabSelected="1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A26" sqref="AA26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3"/>
    <col min="12" max="12" width="9.140625" style="4"/>
    <col min="13" max="17" width="9.140625" style="3"/>
  </cols>
  <sheetData>
    <row r="1" spans="1:38" x14ac:dyDescent="0.2">
      <c r="A1" t="s">
        <v>7</v>
      </c>
    </row>
    <row r="2" spans="1:38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4" t="s">
        <v>6</v>
      </c>
      <c r="M2" s="3" t="s">
        <v>18</v>
      </c>
      <c r="N2" s="3" t="s">
        <v>19</v>
      </c>
      <c r="O2" s="3" t="s">
        <v>39</v>
      </c>
      <c r="P2" s="3" t="s">
        <v>40</v>
      </c>
      <c r="Q2" s="3" t="s">
        <v>41</v>
      </c>
      <c r="R2" s="3" t="s">
        <v>42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f>+AA2+1</f>
        <v>2025</v>
      </c>
      <c r="AC2">
        <f t="shared" ref="AC2:AL2" si="0">+AB2+1</f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  <c r="AH2">
        <f t="shared" si="0"/>
        <v>2031</v>
      </c>
      <c r="AI2">
        <f t="shared" si="0"/>
        <v>2032</v>
      </c>
      <c r="AJ2">
        <f t="shared" si="0"/>
        <v>2033</v>
      </c>
      <c r="AK2">
        <f t="shared" si="0"/>
        <v>2034</v>
      </c>
      <c r="AL2">
        <f t="shared" si="0"/>
        <v>2035</v>
      </c>
    </row>
    <row r="3" spans="1:38" s="8" customFormat="1" x14ac:dyDescent="0.2">
      <c r="B3" s="8" t="s">
        <v>8</v>
      </c>
      <c r="C3" s="5"/>
      <c r="D3" s="5"/>
      <c r="E3" s="5">
        <v>253.857</v>
      </c>
      <c r="F3" s="5">
        <v>274.7</v>
      </c>
      <c r="G3" s="5">
        <v>290.17500000000001</v>
      </c>
      <c r="H3" s="5">
        <v>308.49400000000003</v>
      </c>
      <c r="I3" s="5">
        <v>335.60300000000001</v>
      </c>
      <c r="J3" s="5">
        <v>362.47300000000001</v>
      </c>
      <c r="K3" s="5">
        <v>378.60199999999998</v>
      </c>
      <c r="L3" s="5">
        <v>400.99599999999998</v>
      </c>
      <c r="M3" s="5">
        <v>430.08199999999999</v>
      </c>
      <c r="N3" s="5">
        <f>1669.926-M3-L3-K3</f>
        <v>460.24600000000009</v>
      </c>
      <c r="O3" s="5"/>
      <c r="P3" s="5"/>
      <c r="Q3" s="5"/>
      <c r="V3" s="8">
        <v>287.02199999999999</v>
      </c>
      <c r="W3" s="8">
        <v>431.05900000000003</v>
      </c>
      <c r="X3" s="8">
        <v>656.42600000000004</v>
      </c>
      <c r="Y3" s="8">
        <v>975.24099999999999</v>
      </c>
      <c r="Z3" s="8">
        <v>1296.7449999999999</v>
      </c>
      <c r="AA3" s="8">
        <f>SUM(K3:N3)</f>
        <v>1669.9259999999999</v>
      </c>
      <c r="AB3" s="8">
        <f>+AA3*1.3</f>
        <v>2170.9038</v>
      </c>
      <c r="AC3" s="8">
        <f>+AB3*1.2</f>
        <v>2605.0845599999998</v>
      </c>
      <c r="AD3" s="8">
        <f>+AC3*1.2</f>
        <v>3126.1014719999998</v>
      </c>
      <c r="AE3" s="8">
        <f>+AD3*1.1</f>
        <v>3438.7116192000003</v>
      </c>
      <c r="AF3" s="8">
        <f>+AE3*1.1</f>
        <v>3782.5827811200006</v>
      </c>
      <c r="AG3" s="8">
        <f>+AF3*1.1</f>
        <v>4160.8410592320006</v>
      </c>
    </row>
    <row r="4" spans="1:38" s="2" customFormat="1" x14ac:dyDescent="0.2">
      <c r="B4" s="2" t="s">
        <v>20</v>
      </c>
      <c r="C4" s="4"/>
      <c r="D4" s="4"/>
      <c r="E4" s="4">
        <v>61.966999999999999</v>
      </c>
      <c r="F4" s="4">
        <v>67.787999999999997</v>
      </c>
      <c r="G4" s="4">
        <v>70.432000000000002</v>
      </c>
      <c r="H4" s="4">
        <v>75.221000000000004</v>
      </c>
      <c r="I4" s="4">
        <v>78.069000000000003</v>
      </c>
      <c r="J4" s="4">
        <v>83.283000000000001</v>
      </c>
      <c r="K4" s="4">
        <v>85.037999999999997</v>
      </c>
      <c r="L4" s="4">
        <v>89.010999999999996</v>
      </c>
      <c r="M4" s="4">
        <v>95.966999999999999</v>
      </c>
      <c r="N4" s="4">
        <f>378.702-M4-L4-K4</f>
        <v>108.68600000000002</v>
      </c>
      <c r="O4" s="4"/>
      <c r="P4" s="4"/>
      <c r="Q4" s="4"/>
      <c r="V4" s="2">
        <v>63.423000000000002</v>
      </c>
      <c r="W4" s="2">
        <v>101.05500000000001</v>
      </c>
      <c r="X4" s="2">
        <v>147.13399999999999</v>
      </c>
      <c r="Y4" s="2">
        <v>232.61</v>
      </c>
      <c r="Z4" s="2">
        <v>307.005</v>
      </c>
      <c r="AA4" s="2">
        <f>SUM(K4:N4)</f>
        <v>378.702</v>
      </c>
      <c r="AB4" s="2">
        <f t="shared" ref="AB4:AF4" si="1">+AB3-AB5</f>
        <v>499.30787400000008</v>
      </c>
      <c r="AC4" s="2">
        <f t="shared" si="1"/>
        <v>599.16944879999983</v>
      </c>
      <c r="AD4" s="2">
        <f t="shared" si="1"/>
        <v>719.00333855999997</v>
      </c>
      <c r="AE4" s="2">
        <f t="shared" si="1"/>
        <v>790.90367241600006</v>
      </c>
      <c r="AF4" s="2">
        <f t="shared" si="1"/>
        <v>869.9940396576003</v>
      </c>
      <c r="AG4" s="2">
        <f>+AG3-AG5</f>
        <v>956.99344362336024</v>
      </c>
    </row>
    <row r="5" spans="1:38" s="2" customFormat="1" x14ac:dyDescent="0.2">
      <c r="B5" s="2" t="s">
        <v>21</v>
      </c>
      <c r="C5" s="4"/>
      <c r="D5" s="4"/>
      <c r="E5" s="4">
        <f t="shared" ref="E5:L5" si="2">+E3-E4</f>
        <v>191.89</v>
      </c>
      <c r="F5" s="4">
        <f t="shared" si="2"/>
        <v>206.91199999999998</v>
      </c>
      <c r="G5" s="4">
        <f t="shared" si="2"/>
        <v>219.74299999999999</v>
      </c>
      <c r="H5" s="4">
        <f t="shared" si="2"/>
        <v>233.27300000000002</v>
      </c>
      <c r="I5" s="4">
        <f t="shared" si="2"/>
        <v>257.53399999999999</v>
      </c>
      <c r="J5" s="4">
        <f t="shared" si="2"/>
        <v>279.19</v>
      </c>
      <c r="K5" s="4">
        <f t="shared" si="2"/>
        <v>293.56399999999996</v>
      </c>
      <c r="L5" s="4">
        <f t="shared" si="2"/>
        <v>311.98500000000001</v>
      </c>
      <c r="M5" s="4">
        <f>+M3-M4</f>
        <v>334.11500000000001</v>
      </c>
      <c r="N5" s="4">
        <f>+N3-N4</f>
        <v>351.56000000000006</v>
      </c>
      <c r="O5" s="4"/>
      <c r="P5" s="4"/>
      <c r="Q5" s="4"/>
      <c r="V5" s="2">
        <f t="shared" ref="V5" si="3">+V3-V4</f>
        <v>223.59899999999999</v>
      </c>
      <c r="W5" s="2">
        <f>+W3-W4</f>
        <v>330.00400000000002</v>
      </c>
      <c r="X5" s="2">
        <f>+X3-X4</f>
        <v>509.29200000000003</v>
      </c>
      <c r="Y5" s="2">
        <f>+Y3-Y4</f>
        <v>742.63099999999997</v>
      </c>
      <c r="Z5" s="2">
        <f>+Z3-Z4</f>
        <v>989.7399999999999</v>
      </c>
      <c r="AA5" s="2">
        <f>+AA3-AA4</f>
        <v>1291.2239999999999</v>
      </c>
      <c r="AB5" s="2">
        <f t="shared" ref="AB5:AG5" si="4">+AB3*0.77</f>
        <v>1671.595926</v>
      </c>
      <c r="AC5" s="2">
        <f t="shared" si="4"/>
        <v>2005.9151112</v>
      </c>
      <c r="AD5" s="2">
        <f t="shared" si="4"/>
        <v>2407.0981334399999</v>
      </c>
      <c r="AE5" s="2">
        <f t="shared" si="4"/>
        <v>2647.8079467840003</v>
      </c>
      <c r="AF5" s="2">
        <f t="shared" si="4"/>
        <v>2912.5887414624003</v>
      </c>
      <c r="AG5" s="2">
        <f t="shared" si="4"/>
        <v>3203.8476156086404</v>
      </c>
    </row>
    <row r="6" spans="1:38" s="2" customFormat="1" x14ac:dyDescent="0.2">
      <c r="B6" s="2" t="s">
        <v>22</v>
      </c>
      <c r="C6" s="4"/>
      <c r="D6" s="4"/>
      <c r="E6" s="4">
        <v>116.033</v>
      </c>
      <c r="F6" s="4">
        <v>132.05000000000001</v>
      </c>
      <c r="G6" s="4">
        <v>137.001</v>
      </c>
      <c r="H6" s="4">
        <v>146.68799999999999</v>
      </c>
      <c r="I6" s="4">
        <v>150.214</v>
      </c>
      <c r="J6" s="4">
        <v>165.214</v>
      </c>
      <c r="K6" s="4">
        <v>194.102</v>
      </c>
      <c r="L6" s="4">
        <v>174.501</v>
      </c>
      <c r="M6" s="4">
        <v>185.221</v>
      </c>
      <c r="N6" s="4">
        <f>745.791-M6-L6-K6</f>
        <v>191.96700000000007</v>
      </c>
      <c r="O6" s="4"/>
      <c r="P6" s="4"/>
      <c r="Q6" s="4"/>
      <c r="V6" s="2">
        <v>159.298</v>
      </c>
      <c r="W6" s="2">
        <v>217.875</v>
      </c>
      <c r="X6" s="2">
        <v>328.065</v>
      </c>
      <c r="Y6" s="2">
        <v>465.762</v>
      </c>
      <c r="Z6" s="2">
        <f>SUM(G6:J6)</f>
        <v>599.11699999999996</v>
      </c>
      <c r="AA6" s="2">
        <f t="shared" ref="AA6:AA8" si="5">SUM(K6:N6)</f>
        <v>745.79100000000017</v>
      </c>
      <c r="AB6" s="2">
        <f>+AA6*1.1</f>
        <v>820.37010000000021</v>
      </c>
      <c r="AC6" s="2">
        <f t="shared" ref="AC6:AG6" si="6">+AB6*1.1</f>
        <v>902.40711000000033</v>
      </c>
      <c r="AD6" s="2">
        <f t="shared" si="6"/>
        <v>992.64782100000048</v>
      </c>
      <c r="AE6" s="2">
        <f t="shared" si="6"/>
        <v>1091.9126031000005</v>
      </c>
      <c r="AF6" s="2">
        <f t="shared" si="6"/>
        <v>1201.1038634100007</v>
      </c>
      <c r="AG6" s="2">
        <f t="shared" si="6"/>
        <v>1321.2142497510008</v>
      </c>
    </row>
    <row r="7" spans="1:38" s="2" customFormat="1" x14ac:dyDescent="0.2">
      <c r="B7" s="2" t="s">
        <v>23</v>
      </c>
      <c r="C7" s="4"/>
      <c r="D7" s="4"/>
      <c r="E7" s="4">
        <v>76.432000000000002</v>
      </c>
      <c r="F7" s="4">
        <v>79.703000000000003</v>
      </c>
      <c r="G7" s="4">
        <v>81.539000000000001</v>
      </c>
      <c r="H7" s="4">
        <v>89.61</v>
      </c>
      <c r="I7" s="4">
        <v>90.593000000000004</v>
      </c>
      <c r="J7" s="4">
        <v>96.400999999999996</v>
      </c>
      <c r="K7" s="4">
        <v>87.703000000000003</v>
      </c>
      <c r="L7" s="4">
        <v>102.547</v>
      </c>
      <c r="M7" s="4">
        <v>110.911</v>
      </c>
      <c r="N7" s="4">
        <f>421.374-M7-L7-K7</f>
        <v>120.21300000000002</v>
      </c>
      <c r="O7" s="4"/>
      <c r="P7" s="4"/>
      <c r="Q7" s="4"/>
      <c r="V7" s="2">
        <v>90.668999999999997</v>
      </c>
      <c r="W7" s="2">
        <v>127.14400000000001</v>
      </c>
      <c r="X7" s="2">
        <v>189.40799999999999</v>
      </c>
      <c r="Y7" s="2">
        <v>298.303</v>
      </c>
      <c r="Z7" s="2">
        <f>SUM(G7:J7)</f>
        <v>358.14300000000003</v>
      </c>
      <c r="AA7" s="2">
        <f t="shared" si="5"/>
        <v>421.37400000000002</v>
      </c>
      <c r="AB7" s="2">
        <f t="shared" ref="AB7:AG7" si="7">+AA7*1.1</f>
        <v>463.51140000000004</v>
      </c>
      <c r="AC7" s="2">
        <f t="shared" si="7"/>
        <v>509.86254000000008</v>
      </c>
      <c r="AD7" s="2">
        <f t="shared" si="7"/>
        <v>560.84879400000011</v>
      </c>
      <c r="AE7" s="2">
        <f t="shared" si="7"/>
        <v>616.9336734000002</v>
      </c>
      <c r="AF7" s="2">
        <f t="shared" si="7"/>
        <v>678.62704074000033</v>
      </c>
      <c r="AG7" s="2">
        <f t="shared" si="7"/>
        <v>746.48974481400046</v>
      </c>
    </row>
    <row r="8" spans="1:38" s="2" customFormat="1" x14ac:dyDescent="0.2">
      <c r="B8" s="2" t="s">
        <v>24</v>
      </c>
      <c r="C8" s="4"/>
      <c r="D8" s="4"/>
      <c r="E8" s="4">
        <v>45.372</v>
      </c>
      <c r="F8" s="4">
        <v>45.85</v>
      </c>
      <c r="G8" s="4">
        <v>48.475000000000001</v>
      </c>
      <c r="H8" s="4">
        <v>53.146999999999998</v>
      </c>
      <c r="I8" s="4">
        <v>55.939</v>
      </c>
      <c r="J8" s="4">
        <v>60.404000000000003</v>
      </c>
      <c r="K8" s="4">
        <v>66.308999999999997</v>
      </c>
      <c r="L8" s="4">
        <v>69.635000000000005</v>
      </c>
      <c r="M8" s="4">
        <v>68.777000000000001</v>
      </c>
      <c r="N8" s="4">
        <f>278.52-M8-L8-K8</f>
        <v>73.799000000000007</v>
      </c>
      <c r="O8" s="4"/>
      <c r="P8" s="4"/>
      <c r="Q8" s="4"/>
      <c r="V8" s="2">
        <v>81.578000000000003</v>
      </c>
      <c r="W8" s="2">
        <v>91.753</v>
      </c>
      <c r="X8" s="2">
        <v>119.503</v>
      </c>
      <c r="Y8" s="2">
        <v>179.76900000000001</v>
      </c>
      <c r="Z8" s="2">
        <f>SUM(G8:J8)</f>
        <v>217.965</v>
      </c>
      <c r="AA8" s="2">
        <f t="shared" si="5"/>
        <v>278.52</v>
      </c>
      <c r="AB8" s="2">
        <f>+AB3*0.1</f>
        <v>217.09038000000001</v>
      </c>
      <c r="AC8" s="2">
        <f t="shared" ref="AC8:AG8" si="8">+AC3*0.1</f>
        <v>260.50845599999997</v>
      </c>
      <c r="AD8" s="2">
        <f t="shared" si="8"/>
        <v>312.61014720000003</v>
      </c>
      <c r="AE8" s="2">
        <f t="shared" si="8"/>
        <v>343.87116192000008</v>
      </c>
      <c r="AF8" s="2">
        <f t="shared" si="8"/>
        <v>378.25827811200008</v>
      </c>
      <c r="AG8" s="2">
        <f t="shared" si="8"/>
        <v>416.08410592320007</v>
      </c>
    </row>
    <row r="9" spans="1:38" s="2" customFormat="1" x14ac:dyDescent="0.2">
      <c r="B9" s="2" t="s">
        <v>25</v>
      </c>
      <c r="C9" s="4"/>
      <c r="D9" s="4"/>
      <c r="E9" s="4">
        <f t="shared" ref="E9:N9" si="9">SUM(E6:E8)</f>
        <v>237.83699999999999</v>
      </c>
      <c r="F9" s="4">
        <f t="shared" si="9"/>
        <v>257.60300000000001</v>
      </c>
      <c r="G9" s="4">
        <f t="shared" si="9"/>
        <v>267.01500000000004</v>
      </c>
      <c r="H9" s="4">
        <f t="shared" si="9"/>
        <v>289.44499999999999</v>
      </c>
      <c r="I9" s="4">
        <f t="shared" si="9"/>
        <v>296.74600000000004</v>
      </c>
      <c r="J9" s="4">
        <f t="shared" si="9"/>
        <v>322.01900000000001</v>
      </c>
      <c r="K9" s="4">
        <f t="shared" si="9"/>
        <v>348.11400000000003</v>
      </c>
      <c r="L9" s="4">
        <f t="shared" si="9"/>
        <v>346.68299999999999</v>
      </c>
      <c r="M9" s="4">
        <f t="shared" si="9"/>
        <v>364.90899999999999</v>
      </c>
      <c r="N9" s="4">
        <f t="shared" si="9"/>
        <v>385.97900000000004</v>
      </c>
      <c r="O9" s="4"/>
      <c r="P9" s="4"/>
      <c r="Q9" s="4"/>
      <c r="V9" s="2">
        <f t="shared" ref="V9" si="10">SUM(V6:V8)</f>
        <v>331.54499999999996</v>
      </c>
      <c r="W9" s="2">
        <f>SUM(W6:W8)</f>
        <v>436.77199999999999</v>
      </c>
      <c r="X9" s="2">
        <f>SUM(X6:X8)</f>
        <v>636.976</v>
      </c>
      <c r="Y9" s="2">
        <f>SUM(Y6:Y8)</f>
        <v>943.83400000000006</v>
      </c>
      <c r="Z9" s="2">
        <f t="shared" ref="Z9" si="11">SUM(Z6:Z8)</f>
        <v>1175.2249999999999</v>
      </c>
      <c r="AA9" s="2">
        <f t="shared" ref="AA9" si="12">SUM(AA6:AA8)</f>
        <v>1445.6850000000002</v>
      </c>
      <c r="AB9" s="2">
        <f t="shared" ref="AB9" si="13">SUM(AB6:AB8)</f>
        <v>1500.9718800000003</v>
      </c>
      <c r="AC9" s="2">
        <f t="shared" ref="AC9" si="14">SUM(AC6:AC8)</f>
        <v>1672.7781060000004</v>
      </c>
      <c r="AD9" s="2">
        <f t="shared" ref="AD9" si="15">SUM(AD6:AD8)</f>
        <v>1866.1067622000005</v>
      </c>
      <c r="AE9" s="2">
        <f t="shared" ref="AE9" si="16">SUM(AE6:AE8)</f>
        <v>2052.7174384200007</v>
      </c>
      <c r="AF9" s="2">
        <f t="shared" ref="AF9" si="17">SUM(AF6:AF8)</f>
        <v>2257.9891822620011</v>
      </c>
      <c r="AG9" s="2">
        <f t="shared" ref="AG9" si="18">SUM(AG6:AG8)</f>
        <v>2483.7881004882015</v>
      </c>
    </row>
    <row r="10" spans="1:38" s="2" customFormat="1" x14ac:dyDescent="0.2">
      <c r="B10" s="2" t="s">
        <v>26</v>
      </c>
      <c r="C10" s="4"/>
      <c r="D10" s="4"/>
      <c r="E10" s="4">
        <f t="shared" ref="E10:N10" si="19">+E5-E9</f>
        <v>-45.947000000000003</v>
      </c>
      <c r="F10" s="4">
        <f t="shared" si="19"/>
        <v>-50.691000000000031</v>
      </c>
      <c r="G10" s="4">
        <f t="shared" si="19"/>
        <v>-47.272000000000048</v>
      </c>
      <c r="H10" s="4">
        <f t="shared" si="19"/>
        <v>-56.171999999999969</v>
      </c>
      <c r="I10" s="4">
        <f t="shared" si="19"/>
        <v>-39.212000000000046</v>
      </c>
      <c r="J10" s="4">
        <f t="shared" si="19"/>
        <v>-42.829000000000008</v>
      </c>
      <c r="K10" s="4">
        <f t="shared" si="19"/>
        <v>-54.550000000000068</v>
      </c>
      <c r="L10" s="4">
        <f t="shared" si="19"/>
        <v>-34.697999999999979</v>
      </c>
      <c r="M10" s="4">
        <f t="shared" si="19"/>
        <v>-30.793999999999983</v>
      </c>
      <c r="N10" s="4">
        <f t="shared" si="19"/>
        <v>-34.418999999999983</v>
      </c>
      <c r="O10" s="4"/>
      <c r="P10" s="4"/>
      <c r="Q10" s="4"/>
      <c r="V10" s="2">
        <f t="shared" ref="V10" si="20">+V5-V9</f>
        <v>-107.94599999999997</v>
      </c>
      <c r="W10" s="2">
        <f>+W5-W9</f>
        <v>-106.76799999999997</v>
      </c>
      <c r="X10" s="2">
        <f>+X5-X9</f>
        <v>-127.68399999999997</v>
      </c>
      <c r="Y10" s="2">
        <f>+Y5-Y9</f>
        <v>-201.20300000000009</v>
      </c>
      <c r="Z10" s="2">
        <f t="shared" ref="Z10" si="21">+Z5-Z9</f>
        <v>-185.48500000000001</v>
      </c>
      <c r="AA10" s="2">
        <f t="shared" ref="AA10" si="22">+AA5-AA9</f>
        <v>-154.46100000000024</v>
      </c>
      <c r="AB10" s="2">
        <f t="shared" ref="AB10" si="23">+AB5-AB9</f>
        <v>170.62404599999968</v>
      </c>
      <c r="AC10" s="2">
        <f t="shared" ref="AC10" si="24">+AC5-AC9</f>
        <v>333.13700519999952</v>
      </c>
      <c r="AD10" s="2">
        <f t="shared" ref="AD10" si="25">+AD5-AD9</f>
        <v>540.99137123999935</v>
      </c>
      <c r="AE10" s="2">
        <f t="shared" ref="AE10" si="26">+AE5-AE9</f>
        <v>595.09050836399956</v>
      </c>
      <c r="AF10" s="2">
        <f t="shared" ref="AF10" si="27">+AF5-AF9</f>
        <v>654.5995592003992</v>
      </c>
      <c r="AG10" s="2">
        <f>+AG5-AG9</f>
        <v>720.05951512043885</v>
      </c>
    </row>
    <row r="11" spans="1:38" x14ac:dyDescent="0.2">
      <c r="B11" t="s">
        <v>27</v>
      </c>
      <c r="E11" s="4">
        <f>3.852-1.512+2.433</f>
        <v>4.7729999999999997</v>
      </c>
      <c r="F11" s="4">
        <f>8.323-0.785-1.602</f>
        <v>5.9359999999999999</v>
      </c>
      <c r="G11" s="4">
        <f>13.487-2.126-0.857</f>
        <v>10.504000000000001</v>
      </c>
      <c r="H11" s="4">
        <f>16.536-1.539-1.527</f>
        <v>13.470000000000002</v>
      </c>
      <c r="I11" s="4">
        <f>17.954-1.138+0.115</f>
        <v>16.931000000000001</v>
      </c>
      <c r="J11" s="4">
        <f>20.19-1.069-2.103</f>
        <v>17.018000000000001</v>
      </c>
      <c r="K11" s="4">
        <f>21.252-1.1+1.124</f>
        <v>21.275999999999996</v>
      </c>
      <c r="L11" s="4">
        <f>21.715-1.218+0.269</f>
        <v>20.765999999999998</v>
      </c>
      <c r="M11" s="4">
        <f>22.471-1.433</f>
        <v>21.038</v>
      </c>
      <c r="N11" s="4">
        <f>87.426-5.196-M11-L11-K11</f>
        <v>19.150000000000013</v>
      </c>
      <c r="O11" s="4"/>
      <c r="P11" s="4"/>
      <c r="Q11" s="4"/>
      <c r="V11" s="2">
        <f>5.787-1.112-1.442</f>
        <v>3.2329999999999997</v>
      </c>
      <c r="W11" s="2">
        <f>6.588-24.964</f>
        <v>-18.375999999999998</v>
      </c>
      <c r="X11" s="2">
        <f>1.97-49.234</f>
        <v>-47.264000000000003</v>
      </c>
      <c r="Y11" s="2">
        <v>10.47</v>
      </c>
      <c r="Z11" s="2">
        <f>SUM(G11:J11)</f>
        <v>57.923000000000002</v>
      </c>
      <c r="AA11" s="2">
        <f t="shared" ref="AA11:AA13" si="28">SUM(K11:N11)</f>
        <v>82.230000000000018</v>
      </c>
      <c r="AB11" s="2">
        <f>+AA11</f>
        <v>82.230000000000018</v>
      </c>
      <c r="AC11" s="2">
        <f t="shared" ref="AC11:AF11" si="29">+AB11</f>
        <v>82.230000000000018</v>
      </c>
      <c r="AD11" s="2">
        <f t="shared" si="29"/>
        <v>82.230000000000018</v>
      </c>
      <c r="AE11" s="2">
        <f t="shared" si="29"/>
        <v>82.230000000000018</v>
      </c>
      <c r="AF11" s="2">
        <f t="shared" si="29"/>
        <v>82.230000000000018</v>
      </c>
      <c r="AG11" s="2">
        <f>+AF11</f>
        <v>82.230000000000018</v>
      </c>
    </row>
    <row r="12" spans="1:38" x14ac:dyDescent="0.2">
      <c r="B12" t="s">
        <v>28</v>
      </c>
      <c r="E12" s="4">
        <f t="shared" ref="E12:N12" si="30">+E10+E11</f>
        <v>-41.174000000000007</v>
      </c>
      <c r="F12" s="4">
        <f t="shared" si="30"/>
        <v>-44.755000000000031</v>
      </c>
      <c r="G12" s="4">
        <f t="shared" si="30"/>
        <v>-36.768000000000043</v>
      </c>
      <c r="H12" s="4">
        <f t="shared" si="30"/>
        <v>-42.70199999999997</v>
      </c>
      <c r="I12" s="4">
        <f t="shared" si="30"/>
        <v>-22.281000000000045</v>
      </c>
      <c r="J12" s="4">
        <f t="shared" si="30"/>
        <v>-25.811000000000007</v>
      </c>
      <c r="K12" s="4">
        <f t="shared" si="30"/>
        <v>-33.274000000000072</v>
      </c>
      <c r="L12" s="4">
        <f t="shared" si="30"/>
        <v>-13.931999999999981</v>
      </c>
      <c r="M12" s="4">
        <f t="shared" si="30"/>
        <v>-9.7559999999999825</v>
      </c>
      <c r="N12" s="4">
        <f t="shared" si="30"/>
        <v>-15.26899999999997</v>
      </c>
      <c r="O12" s="4"/>
      <c r="P12" s="4"/>
      <c r="Q12" s="4"/>
      <c r="R12" s="4"/>
      <c r="S12" s="4"/>
      <c r="T12" s="4"/>
      <c r="U12" s="4"/>
      <c r="V12" s="4">
        <f t="shared" ref="V12" si="31">+V10+V11</f>
        <v>-104.71299999999997</v>
      </c>
      <c r="W12" s="4">
        <f t="shared" ref="W12:AA12" si="32">+W10+W11</f>
        <v>-125.14399999999998</v>
      </c>
      <c r="X12" s="4">
        <f t="shared" si="32"/>
        <v>-174.94799999999998</v>
      </c>
      <c r="Y12" s="4">
        <f t="shared" si="32"/>
        <v>-190.73300000000009</v>
      </c>
      <c r="Z12" s="4">
        <f t="shared" si="32"/>
        <v>-127.56200000000001</v>
      </c>
      <c r="AA12" s="4">
        <f t="shared" si="32"/>
        <v>-72.231000000000222</v>
      </c>
      <c r="AB12" s="4">
        <f t="shared" ref="AB12" si="33">+AB10+AB11</f>
        <v>252.8540459999997</v>
      </c>
      <c r="AC12" s="4">
        <f t="shared" ref="AC12" si="34">+AC10+AC11</f>
        <v>415.36700519999954</v>
      </c>
      <c r="AD12" s="4">
        <f t="shared" ref="AD12" si="35">+AD10+AD11</f>
        <v>623.22137123999937</v>
      </c>
      <c r="AE12" s="4">
        <f t="shared" ref="AE12" si="36">+AE10+AE11</f>
        <v>677.32050836399958</v>
      </c>
      <c r="AF12" s="4">
        <f t="shared" ref="AF12" si="37">+AF10+AF11</f>
        <v>736.82955920039922</v>
      </c>
      <c r="AG12" s="4">
        <f t="shared" ref="AG12" si="38">+AG10+AG11</f>
        <v>802.28951512043886</v>
      </c>
    </row>
    <row r="13" spans="1:38" s="2" customFormat="1" x14ac:dyDescent="0.2">
      <c r="B13" s="2" t="s">
        <v>29</v>
      </c>
      <c r="C13" s="4"/>
      <c r="D13" s="4"/>
      <c r="E13" s="4">
        <v>1.3720000000000001</v>
      </c>
      <c r="F13" s="4">
        <v>1.3140000000000001</v>
      </c>
      <c r="G13" s="4">
        <v>1.3140000000000001</v>
      </c>
      <c r="H13" s="4">
        <v>1.4650000000000001</v>
      </c>
      <c r="I13" s="4">
        <v>1.254</v>
      </c>
      <c r="J13" s="4">
        <v>2.0539999999999998</v>
      </c>
      <c r="K13" s="4">
        <v>2.2690000000000001</v>
      </c>
      <c r="L13" s="4">
        <v>1.1459999999999999</v>
      </c>
      <c r="M13" s="4">
        <v>2.5089999999999999</v>
      </c>
      <c r="N13" s="4">
        <f>7.929-M13-L13-K13</f>
        <v>2.0049999999999999</v>
      </c>
      <c r="O13" s="4"/>
      <c r="P13" s="4"/>
      <c r="Q13" s="4"/>
      <c r="V13" s="2">
        <v>1.115</v>
      </c>
      <c r="W13" s="2">
        <v>-5.6029999999999998</v>
      </c>
      <c r="X13" s="2">
        <v>12.333</v>
      </c>
      <c r="Y13" s="2">
        <v>2.6480000000000001</v>
      </c>
      <c r="Z13" s="2">
        <f>SUM(G13:J13)</f>
        <v>6.0869999999999997</v>
      </c>
      <c r="AA13" s="2">
        <f t="shared" si="28"/>
        <v>7.9289999999999994</v>
      </c>
      <c r="AB13" s="2">
        <f>+AB12*0.1</f>
        <v>25.285404599999971</v>
      </c>
      <c r="AC13" s="2">
        <f t="shared" ref="AC13:AG13" si="39">+AC12*0.1</f>
        <v>41.536700519999954</v>
      </c>
      <c r="AD13" s="2">
        <f t="shared" si="39"/>
        <v>62.322137123999937</v>
      </c>
      <c r="AE13" s="2">
        <f t="shared" si="39"/>
        <v>67.732050836399964</v>
      </c>
      <c r="AF13" s="2">
        <f t="shared" si="39"/>
        <v>73.68295592003993</v>
      </c>
      <c r="AG13" s="2">
        <f t="shared" si="39"/>
        <v>80.228951512043892</v>
      </c>
    </row>
    <row r="14" spans="1:38" x14ac:dyDescent="0.2">
      <c r="B14" t="s">
        <v>30</v>
      </c>
      <c r="E14" s="4">
        <f t="shared" ref="E14:N14" si="40">+E12-E13</f>
        <v>-42.546000000000006</v>
      </c>
      <c r="F14" s="4">
        <f t="shared" si="40"/>
        <v>-46.069000000000031</v>
      </c>
      <c r="G14" s="4">
        <f t="shared" si="40"/>
        <v>-38.082000000000043</v>
      </c>
      <c r="H14" s="4">
        <f t="shared" si="40"/>
        <v>-44.166999999999973</v>
      </c>
      <c r="I14" s="4">
        <f t="shared" si="40"/>
        <v>-23.535000000000046</v>
      </c>
      <c r="J14" s="4">
        <f t="shared" si="40"/>
        <v>-27.865000000000006</v>
      </c>
      <c r="K14" s="4">
        <f t="shared" si="40"/>
        <v>-35.54300000000007</v>
      </c>
      <c r="L14" s="4">
        <f t="shared" si="40"/>
        <v>-15.077999999999982</v>
      </c>
      <c r="M14" s="4">
        <f t="shared" si="40"/>
        <v>-12.264999999999983</v>
      </c>
      <c r="N14" s="4">
        <f t="shared" si="40"/>
        <v>-17.273999999999969</v>
      </c>
      <c r="O14" s="4"/>
      <c r="P14" s="4"/>
      <c r="Q14" s="4"/>
      <c r="V14" s="4">
        <f t="shared" ref="V14" si="41">+V12-V13</f>
        <v>-105.82799999999996</v>
      </c>
      <c r="W14" s="4">
        <f t="shared" ref="W14:Z14" si="42">+W12-W13</f>
        <v>-119.54099999999998</v>
      </c>
      <c r="X14" s="4">
        <f t="shared" si="42"/>
        <v>-187.28099999999998</v>
      </c>
      <c r="Y14" s="4">
        <f t="shared" si="42"/>
        <v>-193.38100000000009</v>
      </c>
      <c r="Z14" s="4">
        <f t="shared" si="42"/>
        <v>-133.649</v>
      </c>
      <c r="AA14" s="4">
        <f>+AA12-AA13+273</f>
        <v>192.83999999999978</v>
      </c>
      <c r="AB14" s="4">
        <f t="shared" ref="AB14:AG14" si="43">+AB12-AB13+273</f>
        <v>500.56864139999971</v>
      </c>
      <c r="AC14" s="4">
        <f t="shared" si="43"/>
        <v>646.83030467999959</v>
      </c>
      <c r="AD14" s="4">
        <f t="shared" si="43"/>
        <v>833.89923411599943</v>
      </c>
      <c r="AE14" s="4">
        <f t="shared" si="43"/>
        <v>882.58845752759964</v>
      </c>
      <c r="AF14" s="4">
        <f t="shared" si="43"/>
        <v>936.14660328035927</v>
      </c>
      <c r="AG14" s="4">
        <f t="shared" si="43"/>
        <v>995.060563608395</v>
      </c>
    </row>
    <row r="15" spans="1:38" x14ac:dyDescent="0.2">
      <c r="B15" t="s">
        <v>31</v>
      </c>
      <c r="E15" s="6">
        <f t="shared" ref="E15:N15" si="44">+E14/E16</f>
        <v>-0.13027343151964241</v>
      </c>
      <c r="F15" s="6">
        <f t="shared" si="44"/>
        <v>-0.13943866169878547</v>
      </c>
      <c r="G15" s="6">
        <f t="shared" si="44"/>
        <v>-0.11526412804300398</v>
      </c>
      <c r="H15" s="6">
        <f t="shared" si="44"/>
        <v>-0.13291423034213359</v>
      </c>
      <c r="I15" s="6">
        <f t="shared" si="44"/>
        <v>-7.0323845266624177E-2</v>
      </c>
      <c r="J15" s="6">
        <f t="shared" si="44"/>
        <v>-8.2789130602713215E-2</v>
      </c>
      <c r="K15" s="6">
        <f t="shared" si="44"/>
        <v>-0.10497573711615783</v>
      </c>
      <c r="L15" s="6">
        <f t="shared" si="44"/>
        <v>-4.4262699325990411E-2</v>
      </c>
      <c r="M15" s="6">
        <f t="shared" si="44"/>
        <v>-3.5825281286146538E-2</v>
      </c>
      <c r="N15" s="6">
        <f t="shared" si="44"/>
        <v>-5.0595909329224802E-2</v>
      </c>
      <c r="O15" s="6"/>
      <c r="P15" s="6"/>
      <c r="Q15" s="6"/>
      <c r="V15" s="1">
        <f t="shared" ref="V15" si="45">+V14/V16</f>
        <v>-0.72333328776673511</v>
      </c>
      <c r="W15" s="1">
        <f t="shared" ref="W15:AB15" si="46">+W14/W16</f>
        <v>-0.39877040703997008</v>
      </c>
      <c r="X15" s="1">
        <f t="shared" si="46"/>
        <v>-0.59964267532442572</v>
      </c>
      <c r="Y15" s="1">
        <f t="shared" si="46"/>
        <v>-0.59258975521861201</v>
      </c>
      <c r="Z15" s="1">
        <f t="shared" si="46"/>
        <v>-0.40055925863763875</v>
      </c>
      <c r="AA15" s="1">
        <f t="shared" si="46"/>
        <v>0.56592893019652202</v>
      </c>
      <c r="AB15" s="1">
        <f t="shared" si="46"/>
        <v>1.4690223797833883</v>
      </c>
      <c r="AC15" s="1">
        <f t="shared" ref="AC15:AG15" si="47">+AC14/AC16</f>
        <v>1.8982575313536765</v>
      </c>
      <c r="AD15" s="1">
        <f t="shared" si="47"/>
        <v>2.4472500594014059</v>
      </c>
      <c r="AE15" s="1">
        <f t="shared" si="47"/>
        <v>2.5901386723314328</v>
      </c>
      <c r="AF15" s="1">
        <f t="shared" si="47"/>
        <v>2.7473161465544607</v>
      </c>
      <c r="AG15" s="1">
        <f t="shared" si="47"/>
        <v>2.9202113681997917</v>
      </c>
    </row>
    <row r="16" spans="1:38" s="2" customFormat="1" x14ac:dyDescent="0.2">
      <c r="B16" s="2" t="s">
        <v>1</v>
      </c>
      <c r="C16" s="4"/>
      <c r="D16" s="4"/>
      <c r="E16" s="4">
        <v>326.58999999999997</v>
      </c>
      <c r="F16" s="4">
        <v>330.38900000000001</v>
      </c>
      <c r="G16" s="4">
        <v>330.38900000000001</v>
      </c>
      <c r="H16" s="4">
        <v>332.29700000000003</v>
      </c>
      <c r="I16" s="4">
        <v>334.666</v>
      </c>
      <c r="J16" s="4">
        <v>336.57799999999997</v>
      </c>
      <c r="K16" s="4">
        <v>338.58300000000003</v>
      </c>
      <c r="L16" s="4">
        <v>340.64800000000002</v>
      </c>
      <c r="M16" s="4">
        <v>342.35599999999999</v>
      </c>
      <c r="N16" s="4">
        <v>341.411</v>
      </c>
      <c r="O16" s="4"/>
      <c r="P16" s="4"/>
      <c r="Q16" s="4"/>
      <c r="V16" s="2">
        <v>146.30600000000001</v>
      </c>
      <c r="W16" s="2">
        <v>299.774</v>
      </c>
      <c r="X16" s="2">
        <v>312.32100000000003</v>
      </c>
      <c r="Y16" s="2">
        <v>326.33199999999999</v>
      </c>
      <c r="Z16" s="2">
        <v>333.65600000000001</v>
      </c>
      <c r="AA16" s="2">
        <f>AVERAGE(K16:N16)</f>
        <v>340.74950000000001</v>
      </c>
      <c r="AB16" s="2">
        <f>+AA16</f>
        <v>340.74950000000001</v>
      </c>
      <c r="AC16" s="2">
        <f>+AB16</f>
        <v>340.74950000000001</v>
      </c>
      <c r="AD16" s="2">
        <f t="shared" ref="AD16:AG16" si="48">+AC16</f>
        <v>340.74950000000001</v>
      </c>
      <c r="AE16" s="2">
        <f t="shared" si="48"/>
        <v>340.74950000000001</v>
      </c>
      <c r="AF16" s="2">
        <f t="shared" si="48"/>
        <v>340.74950000000001</v>
      </c>
      <c r="AG16" s="2">
        <f t="shared" si="48"/>
        <v>340.74950000000001</v>
      </c>
    </row>
    <row r="18" spans="2:33" x14ac:dyDescent="0.2">
      <c r="B18" t="s">
        <v>36</v>
      </c>
      <c r="I18" s="7">
        <f t="shared" ref="I18:N18" si="49">+I3/E3-1</f>
        <v>0.322015938106887</v>
      </c>
      <c r="J18" s="7">
        <f t="shared" si="49"/>
        <v>0.31952311612668383</v>
      </c>
      <c r="K18" s="7">
        <f t="shared" si="49"/>
        <v>0.30473679676057541</v>
      </c>
      <c r="L18" s="7">
        <f t="shared" si="49"/>
        <v>0.29985024019916096</v>
      </c>
      <c r="M18" s="7">
        <f t="shared" si="49"/>
        <v>0.28152012943865223</v>
      </c>
      <c r="N18" s="7">
        <f t="shared" si="49"/>
        <v>0.26973871157300011</v>
      </c>
      <c r="O18" s="7"/>
      <c r="P18" s="7"/>
      <c r="Q18" s="7"/>
      <c r="W18" s="9">
        <f>+W3/V3-1</f>
        <v>0.50183261213426156</v>
      </c>
      <c r="X18" s="9">
        <f>+X3/W3-1</f>
        <v>0.52282170190159594</v>
      </c>
      <c r="Y18" s="9">
        <f>+Y3/X3-1</f>
        <v>0.48568307775743169</v>
      </c>
      <c r="Z18" s="9">
        <f>+Z3/Y3-1</f>
        <v>0.32966620558405557</v>
      </c>
      <c r="AA18" s="9">
        <f>+AA3/Z3-1</f>
        <v>0.28778287172882888</v>
      </c>
      <c r="AB18" s="9">
        <f t="shared" ref="AB18:AG18" si="50">+AB3/AA3-1</f>
        <v>0.30000000000000004</v>
      </c>
      <c r="AC18" s="9">
        <f t="shared" si="50"/>
        <v>0.19999999999999996</v>
      </c>
      <c r="AD18" s="9">
        <f t="shared" si="50"/>
        <v>0.19999999999999996</v>
      </c>
      <c r="AE18" s="9">
        <f t="shared" si="50"/>
        <v>0.10000000000000009</v>
      </c>
      <c r="AF18" s="9">
        <f t="shared" si="50"/>
        <v>0.10000000000000009</v>
      </c>
      <c r="AG18" s="9">
        <f t="shared" si="50"/>
        <v>9.9999999999999867E-2</v>
      </c>
    </row>
    <row r="19" spans="2:33" x14ac:dyDescent="0.2">
      <c r="B19" t="s">
        <v>37</v>
      </c>
      <c r="I19" s="7">
        <f t="shared" ref="I19:L19" si="51">+I5/I3</f>
        <v>0.76737693048035915</v>
      </c>
      <c r="J19" s="7">
        <f t="shared" si="51"/>
        <v>0.7702366796975223</v>
      </c>
      <c r="K19" s="7">
        <f t="shared" si="51"/>
        <v>0.77538945911537704</v>
      </c>
      <c r="L19" s="7">
        <f t="shared" si="51"/>
        <v>0.7780252172091493</v>
      </c>
      <c r="M19" s="7">
        <f>+M5/M3</f>
        <v>0.77686348184764764</v>
      </c>
      <c r="N19" s="7">
        <f t="shared" ref="N19" si="52">+N5/N3</f>
        <v>0.76385237459967059</v>
      </c>
      <c r="O19" s="7"/>
      <c r="P19" s="7"/>
      <c r="Q19" s="7"/>
      <c r="V19" s="9">
        <f t="shared" ref="V19" si="53">+V5/V3</f>
        <v>0.77903087568200347</v>
      </c>
      <c r="W19" s="9">
        <f>+W5/W3</f>
        <v>0.76556573462101474</v>
      </c>
      <c r="X19" s="9">
        <f t="shared" ref="X19:AA19" si="54">+X5/X3</f>
        <v>0.7758559228306009</v>
      </c>
      <c r="Y19" s="9">
        <f t="shared" si="54"/>
        <v>0.76148459714060424</v>
      </c>
      <c r="Z19" s="9">
        <f t="shared" si="54"/>
        <v>0.76324952091583154</v>
      </c>
      <c r="AA19" s="9">
        <f t="shared" si="54"/>
        <v>0.77322228649652736</v>
      </c>
      <c r="AB19" s="9">
        <f t="shared" ref="AB19:AG19" si="55">+AB5/AB3</f>
        <v>0.77</v>
      </c>
      <c r="AC19" s="9">
        <f t="shared" si="55"/>
        <v>0.77</v>
      </c>
      <c r="AD19" s="9">
        <f t="shared" si="55"/>
        <v>0.77</v>
      </c>
      <c r="AE19" s="9">
        <f t="shared" si="55"/>
        <v>0.77</v>
      </c>
      <c r="AF19" s="9">
        <f t="shared" si="55"/>
        <v>0.76999999999999991</v>
      </c>
      <c r="AG19" s="9">
        <f t="shared" si="55"/>
        <v>0.77</v>
      </c>
    </row>
    <row r="21" spans="2:33" s="2" customFormat="1" x14ac:dyDescent="0.2">
      <c r="B21" s="2" t="s">
        <v>32</v>
      </c>
      <c r="C21" s="4"/>
      <c r="D21" s="4"/>
      <c r="E21" s="4"/>
      <c r="F21" s="4"/>
      <c r="G21" s="4">
        <v>36.414000000000001</v>
      </c>
      <c r="H21" s="4">
        <f>100.865-G21</f>
        <v>64.450999999999993</v>
      </c>
      <c r="I21" s="4">
        <f>254.406-H21-G21-F21</f>
        <v>153.541</v>
      </c>
      <c r="J21" s="4">
        <f>254.406-I21-H21-G21</f>
        <v>0</v>
      </c>
      <c r="K21" s="4">
        <v>73.578999999999994</v>
      </c>
      <c r="L21" s="4">
        <f>148.394-K21</f>
        <v>74.815000000000012</v>
      </c>
      <c r="M21" s="4"/>
      <c r="N21" s="4"/>
      <c r="O21" s="4"/>
      <c r="P21" s="4"/>
      <c r="Q21" s="4"/>
      <c r="X21" s="2">
        <v>64.647999999999996</v>
      </c>
      <c r="Y21" s="2">
        <v>123.595</v>
      </c>
      <c r="Z21" s="2">
        <v>254.40600000000001</v>
      </c>
      <c r="AA21" s="2">
        <v>380.42899999999997</v>
      </c>
      <c r="AB21" s="2">
        <f>+AA21*2</f>
        <v>760.85799999999995</v>
      </c>
      <c r="AC21" s="2">
        <f>+AB21*1.3</f>
        <v>989.11539999999991</v>
      </c>
      <c r="AD21" s="2">
        <f>+AC21*1.3</f>
        <v>1285.8500199999999</v>
      </c>
      <c r="AE21" s="2">
        <f>+AD21*1.3</f>
        <v>1671.605026</v>
      </c>
      <c r="AF21" s="2">
        <f>+AE21*1.3</f>
        <v>2173.0865337999999</v>
      </c>
      <c r="AG21" s="2">
        <f>+AF21*1.3</f>
        <v>2825.0124939399998</v>
      </c>
    </row>
    <row r="22" spans="2:33" s="2" customFormat="1" x14ac:dyDescent="0.2">
      <c r="B22" s="2" t="s">
        <v>33</v>
      </c>
      <c r="C22" s="4"/>
      <c r="D22" s="4"/>
      <c r="E22" s="4"/>
      <c r="F22" s="4"/>
      <c r="G22" s="4">
        <v>17.541</v>
      </c>
      <c r="H22" s="4">
        <f>56.289-G22</f>
        <v>38.748000000000005</v>
      </c>
      <c r="I22" s="4">
        <f>114.396-H22-G22-F22</f>
        <v>58.106999999999999</v>
      </c>
      <c r="J22" s="4">
        <f>114.396-I22-H22-G22</f>
        <v>0</v>
      </c>
      <c r="K22" s="4">
        <v>32.055999999999997</v>
      </c>
      <c r="L22" s="4">
        <f>61.681-K22</f>
        <v>29.625</v>
      </c>
      <c r="M22" s="4"/>
      <c r="N22" s="4"/>
      <c r="O22" s="4"/>
      <c r="P22" s="4"/>
      <c r="Q22" s="4"/>
      <c r="Y22" s="2">
        <v>143.60599999999999</v>
      </c>
      <c r="Z22" s="2">
        <v>114.396</v>
      </c>
      <c r="AA22" s="2">
        <v>185.03700000000001</v>
      </c>
    </row>
    <row r="23" spans="2:33" s="2" customFormat="1" x14ac:dyDescent="0.2">
      <c r="B23" s="2" t="s">
        <v>34</v>
      </c>
      <c r="C23" s="4"/>
      <c r="D23" s="4"/>
      <c r="E23" s="4"/>
      <c r="F23" s="4"/>
      <c r="G23" s="4">
        <f t="shared" ref="G23:L23" si="56">+G21-G22</f>
        <v>18.873000000000001</v>
      </c>
      <c r="H23" s="4">
        <f t="shared" si="56"/>
        <v>25.702999999999989</v>
      </c>
      <c r="I23" s="4">
        <f t="shared" si="56"/>
        <v>95.433999999999997</v>
      </c>
      <c r="J23" s="4">
        <f t="shared" si="56"/>
        <v>0</v>
      </c>
      <c r="K23" s="4">
        <f t="shared" si="56"/>
        <v>41.522999999999996</v>
      </c>
      <c r="L23" s="4">
        <f t="shared" si="56"/>
        <v>45.190000000000012</v>
      </c>
      <c r="M23" s="4"/>
      <c r="N23" s="4"/>
      <c r="O23" s="4"/>
      <c r="P23" s="4"/>
      <c r="Q23" s="4"/>
      <c r="Y23" s="2">
        <f>+Y21-Y22</f>
        <v>-20.010999999999996</v>
      </c>
      <c r="Z23" s="2">
        <f>+Z21-Z22</f>
        <v>140.01</v>
      </c>
      <c r="AA23" s="2">
        <f>+AA21-AA22</f>
        <v>195.39199999999997</v>
      </c>
    </row>
    <row r="25" spans="2:33" x14ac:dyDescent="0.2">
      <c r="B25" s="2" t="s">
        <v>38</v>
      </c>
      <c r="Z25" s="2">
        <v>273989</v>
      </c>
    </row>
    <row r="26" spans="2:33" x14ac:dyDescent="0.2">
      <c r="B26" t="s">
        <v>43</v>
      </c>
      <c r="Z26" s="2"/>
      <c r="AA26" s="2">
        <v>467.42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2024-09-26T14:14:50Z</dcterms:created>
  <dcterms:modified xsi:type="dcterms:W3CDTF">2025-10-14T13:58:48Z</dcterms:modified>
</cp:coreProperties>
</file>