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9A17C342-92AF-44E4-BF58-9CE333719731}" xr6:coauthVersionLast="47" xr6:coauthVersionMax="47" xr10:uidLastSave="{00000000-0000-0000-0000-000000000000}"/>
  <bookViews>
    <workbookView xWindow="4920" yWindow="4920" windowWidth="18075" windowHeight="16020" activeTab="1" xr2:uid="{58882646-6B4F-4729-A7A9-90994362F85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5" i="2" l="1"/>
  <c r="S3" i="2"/>
  <c r="R3" i="2"/>
  <c r="R5" i="2" s="1"/>
  <c r="Q3" i="2"/>
  <c r="R17" i="2"/>
  <c r="S17" i="2" s="1"/>
  <c r="Q17" i="2"/>
  <c r="AA10" i="2"/>
  <c r="Z10" i="2"/>
  <c r="Y10" i="2"/>
  <c r="X10" i="2"/>
  <c r="W10" i="2"/>
  <c r="V10" i="2"/>
  <c r="U10" i="2"/>
  <c r="T10" i="2"/>
  <c r="S10" i="2"/>
  <c r="R10" i="2"/>
  <c r="Q10" i="2"/>
  <c r="V9" i="2"/>
  <c r="W9" i="2" s="1"/>
  <c r="X9" i="2" s="1"/>
  <c r="Y9" i="2" s="1"/>
  <c r="Z9" i="2" s="1"/>
  <c r="AA9" i="2" s="1"/>
  <c r="W8" i="2"/>
  <c r="X8" i="2" s="1"/>
  <c r="Y8" i="2" s="1"/>
  <c r="Z8" i="2" s="1"/>
  <c r="AA8" i="2" s="1"/>
  <c r="V8" i="2"/>
  <c r="Q9" i="2"/>
  <c r="R9" i="2" s="1"/>
  <c r="S9" i="2" s="1"/>
  <c r="T9" i="2" s="1"/>
  <c r="U9" i="2" s="1"/>
  <c r="R8" i="2"/>
  <c r="S8" i="2" s="1"/>
  <c r="T8" i="2" s="1"/>
  <c r="U8" i="2" s="1"/>
  <c r="Q8" i="2"/>
  <c r="Q7" i="2"/>
  <c r="Q20" i="2" s="1"/>
  <c r="Q5" i="2"/>
  <c r="Q19" i="2" s="1"/>
  <c r="AA2" i="2"/>
  <c r="Z2" i="2"/>
  <c r="Y2" i="2"/>
  <c r="X2" i="2"/>
  <c r="W2" i="2"/>
  <c r="V2" i="2"/>
  <c r="U2" i="2"/>
  <c r="T2" i="2"/>
  <c r="S2" i="2"/>
  <c r="R2" i="2"/>
  <c r="Q2" i="2"/>
  <c r="P27" i="2"/>
  <c r="P26" i="2"/>
  <c r="P25" i="2"/>
  <c r="M27" i="2"/>
  <c r="N27" i="2"/>
  <c r="O27" i="2"/>
  <c r="P17" i="2"/>
  <c r="P14" i="2"/>
  <c r="P12" i="2"/>
  <c r="O12" i="2"/>
  <c r="N12" i="2"/>
  <c r="M12" i="2"/>
  <c r="M15" i="2"/>
  <c r="M16" i="2" s="1"/>
  <c r="O13" i="2"/>
  <c r="O15" i="2" s="1"/>
  <c r="O16" i="2" s="1"/>
  <c r="N13" i="2"/>
  <c r="N15" i="2" s="1"/>
  <c r="N16" i="2" s="1"/>
  <c r="M13" i="2"/>
  <c r="P9" i="2"/>
  <c r="P8" i="2"/>
  <c r="N10" i="2"/>
  <c r="N11" i="2" s="1"/>
  <c r="M10" i="2"/>
  <c r="M11" i="2" s="1"/>
  <c r="O11" i="2"/>
  <c r="O10" i="2"/>
  <c r="F17" i="2"/>
  <c r="F14" i="2"/>
  <c r="F12" i="2"/>
  <c r="F9" i="2"/>
  <c r="F10" i="2" s="1"/>
  <c r="F11" i="2" s="1"/>
  <c r="F13" i="2" s="1"/>
  <c r="F8" i="2"/>
  <c r="F7" i="2"/>
  <c r="F6" i="2"/>
  <c r="F5" i="2"/>
  <c r="F4" i="2"/>
  <c r="F3" i="2"/>
  <c r="P7" i="2"/>
  <c r="P20" i="2" s="1"/>
  <c r="P6" i="2"/>
  <c r="J6" i="2"/>
  <c r="J7" i="2"/>
  <c r="O20" i="2"/>
  <c r="N20" i="2"/>
  <c r="M20" i="2"/>
  <c r="M6" i="2"/>
  <c r="N6" i="2"/>
  <c r="M7" i="2"/>
  <c r="N7" i="2"/>
  <c r="O7" i="2"/>
  <c r="O6" i="2"/>
  <c r="P19" i="2"/>
  <c r="O19" i="2"/>
  <c r="N19" i="2"/>
  <c r="J5" i="2"/>
  <c r="J4" i="2"/>
  <c r="P4" i="2" s="1"/>
  <c r="J3" i="2"/>
  <c r="P3" i="2"/>
  <c r="O5" i="2"/>
  <c r="N5" i="2"/>
  <c r="M5" i="2"/>
  <c r="C27" i="2"/>
  <c r="G27" i="2"/>
  <c r="C12" i="2"/>
  <c r="C6" i="2"/>
  <c r="C10" i="2"/>
  <c r="C5" i="2"/>
  <c r="G12" i="2"/>
  <c r="G6" i="2"/>
  <c r="G10" i="2"/>
  <c r="G5" i="2"/>
  <c r="D26" i="2"/>
  <c r="H26" i="2"/>
  <c r="I26" i="2" s="1"/>
  <c r="D25" i="2"/>
  <c r="E25" i="2" s="1"/>
  <c r="H25" i="2"/>
  <c r="I25" i="2" s="1"/>
  <c r="D12" i="2"/>
  <c r="D6" i="2"/>
  <c r="D10" i="2"/>
  <c r="D5" i="2"/>
  <c r="D7" i="2" s="1"/>
  <c r="D11" i="2" s="1"/>
  <c r="D13" i="2" s="1"/>
  <c r="D15" i="2" s="1"/>
  <c r="D16" i="2" s="1"/>
  <c r="H20" i="2"/>
  <c r="H19" i="2"/>
  <c r="H12" i="2"/>
  <c r="H6" i="2"/>
  <c r="H10" i="2"/>
  <c r="H5" i="2"/>
  <c r="H7" i="2" s="1"/>
  <c r="E26" i="2"/>
  <c r="I20" i="2"/>
  <c r="I19" i="2"/>
  <c r="E12" i="2"/>
  <c r="E6" i="2"/>
  <c r="E10" i="2"/>
  <c r="E5" i="2"/>
  <c r="E7" i="2" s="1"/>
  <c r="I16" i="2"/>
  <c r="I15" i="2"/>
  <c r="I13" i="2"/>
  <c r="I12" i="2"/>
  <c r="I11" i="2"/>
  <c r="I10" i="2"/>
  <c r="I7" i="2"/>
  <c r="I6" i="2"/>
  <c r="I5" i="2"/>
  <c r="L7" i="1"/>
  <c r="L6" i="1"/>
  <c r="L4" i="1"/>
  <c r="R19" i="2" l="1"/>
  <c r="R7" i="2"/>
  <c r="R20" i="2" s="1"/>
  <c r="T3" i="2"/>
  <c r="S5" i="2"/>
  <c r="Q11" i="2"/>
  <c r="Q13" i="2" s="1"/>
  <c r="R11" i="2"/>
  <c r="R13" i="2" s="1"/>
  <c r="T17" i="2"/>
  <c r="F15" i="2"/>
  <c r="F16" i="2" s="1"/>
  <c r="P10" i="2"/>
  <c r="P11" i="2" s="1"/>
  <c r="P13" i="2" s="1"/>
  <c r="P15" i="2" s="1"/>
  <c r="P16" i="2" s="1"/>
  <c r="P5" i="2"/>
  <c r="I27" i="2"/>
  <c r="D27" i="2"/>
  <c r="H27" i="2"/>
  <c r="C7" i="2"/>
  <c r="C11" i="2" s="1"/>
  <c r="C13" i="2" s="1"/>
  <c r="C15" i="2" s="1"/>
  <c r="C16" i="2" s="1"/>
  <c r="G19" i="2"/>
  <c r="G7" i="2"/>
  <c r="E27" i="2"/>
  <c r="H11" i="2"/>
  <c r="H13" i="2" s="1"/>
  <c r="H15" i="2" s="1"/>
  <c r="H16" i="2" s="1"/>
  <c r="E11" i="2"/>
  <c r="E13" i="2" s="1"/>
  <c r="E15" i="2" s="1"/>
  <c r="E16" i="2" s="1"/>
  <c r="R14" i="2" l="1"/>
  <c r="R15" i="2"/>
  <c r="R16" i="2" s="1"/>
  <c r="Q14" i="2"/>
  <c r="Q15" i="2"/>
  <c r="S19" i="2"/>
  <c r="S7" i="2"/>
  <c r="U3" i="2"/>
  <c r="T5" i="2"/>
  <c r="U17" i="2"/>
  <c r="G20" i="2"/>
  <c r="G11" i="2"/>
  <c r="G13" i="2" s="1"/>
  <c r="G15" i="2" s="1"/>
  <c r="G16" i="2" s="1"/>
  <c r="T19" i="2" l="1"/>
  <c r="T7" i="2"/>
  <c r="V3" i="2"/>
  <c r="U5" i="2"/>
  <c r="Q16" i="2"/>
  <c r="S20" i="2"/>
  <c r="S11" i="2"/>
  <c r="S13" i="2" s="1"/>
  <c r="V17" i="2"/>
  <c r="S14" i="2" l="1"/>
  <c r="S15" i="2"/>
  <c r="T20" i="2"/>
  <c r="T11" i="2"/>
  <c r="T13" i="2" s="1"/>
  <c r="U19" i="2"/>
  <c r="U7" i="2"/>
  <c r="V5" i="2"/>
  <c r="W3" i="2"/>
  <c r="W17" i="2"/>
  <c r="U20" i="2" l="1"/>
  <c r="U11" i="2"/>
  <c r="U13" i="2" s="1"/>
  <c r="W5" i="2"/>
  <c r="X3" i="2"/>
  <c r="V7" i="2"/>
  <c r="V19" i="2"/>
  <c r="T14" i="2"/>
  <c r="T15" i="2" s="1"/>
  <c r="T16" i="2" s="1"/>
  <c r="S16" i="2"/>
  <c r="X17" i="2"/>
  <c r="V20" i="2" l="1"/>
  <c r="V11" i="2"/>
  <c r="V13" i="2" s="1"/>
  <c r="X5" i="2"/>
  <c r="Y3" i="2"/>
  <c r="W7" i="2"/>
  <c r="W19" i="2"/>
  <c r="U14" i="2"/>
  <c r="U15" i="2"/>
  <c r="Y17" i="2"/>
  <c r="U16" i="2" l="1"/>
  <c r="W20" i="2"/>
  <c r="W11" i="2"/>
  <c r="W13" i="2" s="1"/>
  <c r="Y5" i="2"/>
  <c r="Z3" i="2"/>
  <c r="X7" i="2"/>
  <c r="X19" i="2"/>
  <c r="V14" i="2"/>
  <c r="V15" i="2" s="1"/>
  <c r="V16" i="2" s="1"/>
  <c r="Z17" i="2"/>
  <c r="X20" i="2" l="1"/>
  <c r="X11" i="2"/>
  <c r="X13" i="2" s="1"/>
  <c r="Z5" i="2"/>
  <c r="AA3" i="2"/>
  <c r="AA5" i="2" s="1"/>
  <c r="Y7" i="2"/>
  <c r="Y19" i="2"/>
  <c r="W14" i="2"/>
  <c r="W15" i="2"/>
  <c r="W16" i="2" s="1"/>
  <c r="AA17" i="2"/>
  <c r="Y20" i="2" l="1"/>
  <c r="Y11" i="2"/>
  <c r="Y13" i="2" s="1"/>
  <c r="AA19" i="2"/>
  <c r="AA7" i="2"/>
  <c r="Z19" i="2"/>
  <c r="Z7" i="2"/>
  <c r="X14" i="2"/>
  <c r="X15" i="2" s="1"/>
  <c r="X16" i="2" l="1"/>
  <c r="Z20" i="2"/>
  <c r="Z11" i="2"/>
  <c r="Z13" i="2" s="1"/>
  <c r="AA20" i="2"/>
  <c r="AA11" i="2"/>
  <c r="AA13" i="2" s="1"/>
  <c r="Y14" i="2"/>
  <c r="Y15" i="2" s="1"/>
  <c r="Y16" i="2" s="1"/>
  <c r="AA14" i="2" l="1"/>
  <c r="AA15" i="2" s="1"/>
  <c r="Z14" i="2"/>
  <c r="Z15" i="2" s="1"/>
  <c r="Z16" i="2" s="1"/>
  <c r="AB15" i="2" l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AC24" i="2" s="1"/>
  <c r="AA16" i="2"/>
</calcChain>
</file>

<file path=xl/sharedStrings.xml><?xml version="1.0" encoding="utf-8"?>
<sst xmlns="http://schemas.openxmlformats.org/spreadsheetml/2006/main" count="53" uniqueCount="48">
  <si>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</si>
  <si>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</si>
  <si>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</si>
  <si>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</si>
  <si>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</si>
  <si>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</si>
  <si>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</si>
  <si>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</si>
  <si>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</si>
  <si>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Q123</t>
  </si>
  <si>
    <t>Q223</t>
  </si>
  <si>
    <t>Q323</t>
  </si>
  <si>
    <t>Q423</t>
  </si>
  <si>
    <t>Q124</t>
  </si>
  <si>
    <t>Q224</t>
  </si>
  <si>
    <t>Q424</t>
  </si>
  <si>
    <t>Product</t>
  </si>
  <si>
    <t>Licensing</t>
  </si>
  <si>
    <t>COGS</t>
  </si>
  <si>
    <t>Gross Profit</t>
  </si>
  <si>
    <t>R&amp;D</t>
  </si>
  <si>
    <t>SG&amp;A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</si>
  <si>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</si>
  <si>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</si>
  <si>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</si>
  <si>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</si>
  <si>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</si>
  <si>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</si>
  <si>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</si>
  <si>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</si>
  <si>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Gross Margin</t>
  </si>
  <si>
    <t>CFFO</t>
  </si>
  <si>
    <t>CapEx</t>
  </si>
  <si>
    <t>FCF</t>
  </si>
  <si>
    <t>Founded: 2003</t>
  </si>
  <si>
    <t>Prenatal</t>
  </si>
  <si>
    <t>Panorama</t>
  </si>
  <si>
    <t>Horizon</t>
  </si>
  <si>
    <t>Signatera</t>
  </si>
  <si>
    <t>cancer, MRD</t>
  </si>
  <si>
    <t>Prospera</t>
  </si>
  <si>
    <t>organ transplant</t>
  </si>
  <si>
    <t>Constellation</t>
  </si>
  <si>
    <t>cloud</t>
  </si>
  <si>
    <t>Discount</t>
  </si>
  <si>
    <t>Terminal</t>
  </si>
  <si>
    <t>NPV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</si>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</sst>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F18D7B2-E456-4C7B-9F5F-84EC389A63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77B0-24A8-45AA-B3F5-93FE25292129}">
  <dimension ref="B2:M10"/>
  <sheetViews>
    <sheetView zoomScaleNormal="100" workbookViewId="0">
      <selection activeCell="M7" sqref="M7"/>
    </sheetView>
  </sheetViews>
  <sheetFormatPr defaultRowHeight="12.75" x14ac:dyDescent="0.2"/>
  <cols>
    <col min="1" max="1" width="2.85546875" customWidth="1"/>
    <col min="2" max="2" width="12" bestFit="1" customWidth="1"/>
    <col min="3" max="3" width="15.5703125" customWidth="1"/>
    <col min="8" max="10" width="4.85546875" customWidth="1"/>
  </cols>
  <sheetData>
    <row r="2" spans="2:13" x14ac:dyDescent="0.2">
      <c r="B2" t="s">
        <v>36</v>
      </c>
      <c r="C2" t="s">
        <v>35</v>
      </c>
      <c r="K2" t="s">
        <v>0</v>
      </c>
      <c r="L2">
        <v>168.51</v>
      </c>
    </row>
    <row r="3" spans="2:13" x14ac:dyDescent="0.2">
      <c r="B3" t="s">
        <v>37</v>
      </c>
      <c r="C3" t="s">
        <v>35</v>
      </c>
      <c r="K3" t="s">
        <v>1</v>
      </c>
      <c r="L3" s="2">
        <v>132.020816</v>
      </c>
      <c r="M3" s="1" t="s">
        <v>6</v>
      </c>
    </row>
    <row r="4" spans="2:13" x14ac:dyDescent="0.2">
      <c r="B4" t="s">
        <v>38</v>
      </c>
      <c r="C4" t="s">
        <v>39</v>
      </c>
      <c r="K4" t="s">
        <v>2</v>
      </c>
      <c r="L4" s="2">
        <f>+L2*L3</f>
        <v>22246.827704159998</v>
      </c>
    </row>
    <row r="5" spans="2:13" x14ac:dyDescent="0.2">
      <c r="B5" t="s">
        <v>40</v>
      </c>
      <c r="C5" t="s">
        <v>41</v>
      </c>
      <c r="K5" t="s">
        <v>3</v>
      </c>
      <c r="L5" s="2">
        <v>892.84400000000005</v>
      </c>
      <c r="M5" s="1" t="s">
        <v>6</v>
      </c>
    </row>
    <row r="6" spans="2:13" x14ac:dyDescent="0.2">
      <c r="B6" t="s">
        <v>42</v>
      </c>
      <c r="C6" t="s">
        <v>43</v>
      </c>
      <c r="K6" t="s">
        <v>4</v>
      </c>
      <c r="L6" s="2">
        <f>286.549+80.469</f>
        <v>367.01799999999997</v>
      </c>
      <c r="M6" s="1" t="s">
        <v>6</v>
      </c>
    </row>
    <row r="7" spans="2:13" x14ac:dyDescent="0.2">
      <c r="K7" t="s">
        <v>5</v>
      </c>
      <c r="L7" s="2">
        <f>+L4-L5+L6</f>
        <v>21721.001704159997</v>
      </c>
    </row>
    <row r="10" spans="2:13" x14ac:dyDescent="0.2">
      <c r="K1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483D-003C-4287-8538-82CB56A41C42}">
  <dimension ref="A1:FG27"/>
  <sheetViews>
    <sheetView tabSelected="1" zoomScaleNormal="100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C25" sqref="AC25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1"/>
    <col min="29" max="29" width="11.85546875" bestFit="1" customWidth="1"/>
  </cols>
  <sheetData>
    <row r="1" spans="1:163" x14ac:dyDescent="0.2">
      <c r="A1" s="7" t="s">
        <v>7</v>
      </c>
    </row>
    <row r="2" spans="1:163" x14ac:dyDescent="0.2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6</v>
      </c>
      <c r="J2" s="1" t="s">
        <v>15</v>
      </c>
      <c r="M2">
        <v>2021</v>
      </c>
      <c r="N2">
        <v>2022</v>
      </c>
      <c r="O2">
        <v>2023</v>
      </c>
      <c r="P2">
        <v>2024</v>
      </c>
      <c r="Q2">
        <f t="shared" ref="Q2:AA2" si="0">+P2+1</f>
        <v>2025</v>
      </c>
      <c r="R2">
        <f t="shared" si="0"/>
        <v>2026</v>
      </c>
      <c r="S2">
        <f t="shared" si="0"/>
        <v>2027</v>
      </c>
      <c r="T2">
        <f t="shared" si="0"/>
        <v>2028</v>
      </c>
      <c r="U2">
        <f t="shared" si="0"/>
        <v>2029</v>
      </c>
      <c r="V2">
        <f t="shared" si="0"/>
        <v>2030</v>
      </c>
      <c r="W2">
        <f t="shared" si="0"/>
        <v>2031</v>
      </c>
      <c r="X2">
        <f t="shared" si="0"/>
        <v>2032</v>
      </c>
      <c r="Y2">
        <f t="shared" si="0"/>
        <v>2033</v>
      </c>
      <c r="Z2">
        <f t="shared" si="0"/>
        <v>2034</v>
      </c>
      <c r="AA2">
        <f t="shared" si="0"/>
        <v>2035</v>
      </c>
    </row>
    <row r="3" spans="1:163" s="2" customFormat="1" x14ac:dyDescent="0.2">
      <c r="B3" s="2" t="s">
        <v>16</v>
      </c>
      <c r="C3" s="4">
        <v>237.73699999999999</v>
      </c>
      <c r="D3" s="4">
        <v>258.25599999999997</v>
      </c>
      <c r="E3" s="4">
        <v>265.21800000000002</v>
      </c>
      <c r="F3" s="4">
        <f>+O3-E3-D3-C3</f>
        <v>307.31099999999992</v>
      </c>
      <c r="G3" s="4">
        <v>364.67200000000003</v>
      </c>
      <c r="H3" s="4">
        <v>411.36399999999998</v>
      </c>
      <c r="I3" s="4">
        <v>436.12700000000001</v>
      </c>
      <c r="J3" s="4">
        <f>+I3+10</f>
        <v>446.12700000000001</v>
      </c>
      <c r="M3" s="2">
        <v>580.08000000000004</v>
      </c>
      <c r="N3" s="2">
        <v>797.30700000000002</v>
      </c>
      <c r="O3" s="2">
        <v>1068.5219999999999</v>
      </c>
      <c r="P3" s="2">
        <f>SUM(G3:J3)</f>
        <v>1658.29</v>
      </c>
      <c r="Q3" s="2">
        <f>+P3*1.5</f>
        <v>2487.4349999999999</v>
      </c>
      <c r="R3" s="2">
        <f>+Q3*1.4</f>
        <v>3482.4089999999997</v>
      </c>
      <c r="S3" s="2">
        <f>+R3*1.4</f>
        <v>4875.3725999999988</v>
      </c>
      <c r="T3" s="2">
        <f>+S3*1.2</f>
        <v>5850.447119999998</v>
      </c>
      <c r="U3" s="2">
        <f>+T3*1.2</f>
        <v>7020.5365439999978</v>
      </c>
      <c r="V3" s="2">
        <f>+U3*1.1</f>
        <v>7722.5901983999984</v>
      </c>
      <c r="W3" s="2">
        <f>+V3*1.1</f>
        <v>8494.8492182399987</v>
      </c>
      <c r="X3" s="2">
        <f>+W3*1.01</f>
        <v>8579.7977104223992</v>
      </c>
      <c r="Y3" s="2">
        <f>+X3*1.01</f>
        <v>8665.5956875266238</v>
      </c>
      <c r="Z3" s="2">
        <f>+Y3*1.01</f>
        <v>8752.2516444018893</v>
      </c>
      <c r="AA3" s="2">
        <f>+Z3*1.01</f>
        <v>8839.7741608459091</v>
      </c>
    </row>
    <row r="4" spans="1:163" s="2" customFormat="1" x14ac:dyDescent="0.2">
      <c r="B4" s="2" t="s">
        <v>17</v>
      </c>
      <c r="C4" s="4">
        <v>3.9590000000000001</v>
      </c>
      <c r="D4" s="4">
        <v>3.1480000000000001</v>
      </c>
      <c r="E4" s="4">
        <v>3.0880000000000001</v>
      </c>
      <c r="F4" s="4">
        <f>+O4-E4-D4-C4</f>
        <v>3.8539999999999988</v>
      </c>
      <c r="G4" s="4">
        <v>3.069</v>
      </c>
      <c r="H4" s="4">
        <v>1.9870000000000001</v>
      </c>
      <c r="I4" s="4">
        <v>3.6309999999999998</v>
      </c>
      <c r="J4" s="4">
        <f>+I4+10</f>
        <v>13.631</v>
      </c>
      <c r="M4" s="2">
        <v>45.405999999999999</v>
      </c>
      <c r="N4" s="2">
        <v>22.914999999999999</v>
      </c>
      <c r="O4" s="2">
        <v>14.048999999999999</v>
      </c>
      <c r="P4" s="2">
        <f>SUM(G4:J4)</f>
        <v>22.317999999999998</v>
      </c>
    </row>
    <row r="5" spans="1:163" s="5" customFormat="1" x14ac:dyDescent="0.2">
      <c r="B5" s="5" t="s">
        <v>8</v>
      </c>
      <c r="C5" s="6">
        <f t="shared" ref="C5:J5" si="1">+C3+C4</f>
        <v>241.696</v>
      </c>
      <c r="D5" s="6">
        <f t="shared" si="1"/>
        <v>261.404</v>
      </c>
      <c r="E5" s="6">
        <f t="shared" si="1"/>
        <v>268.30600000000004</v>
      </c>
      <c r="F5" s="6">
        <f t="shared" si="1"/>
        <v>311.16499999999991</v>
      </c>
      <c r="G5" s="6">
        <f t="shared" si="1"/>
        <v>367.74100000000004</v>
      </c>
      <c r="H5" s="6">
        <f t="shared" si="1"/>
        <v>413.351</v>
      </c>
      <c r="I5" s="6">
        <f t="shared" si="1"/>
        <v>439.75799999999998</v>
      </c>
      <c r="J5" s="6">
        <f t="shared" si="1"/>
        <v>459.75800000000004</v>
      </c>
      <c r="M5" s="5">
        <f>+M3+M4</f>
        <v>625.48599999999999</v>
      </c>
      <c r="N5" s="5">
        <f>+N3+N4</f>
        <v>820.22199999999998</v>
      </c>
      <c r="O5" s="5">
        <f>+O3+O4</f>
        <v>1082.5709999999999</v>
      </c>
      <c r="P5" s="5">
        <f>+P3+P4</f>
        <v>1680.6079999999999</v>
      </c>
      <c r="Q5" s="5">
        <f t="shared" ref="Q5:AA5" si="2">+Q3+Q4</f>
        <v>2487.4349999999999</v>
      </c>
      <c r="R5" s="5">
        <f t="shared" si="2"/>
        <v>3482.4089999999997</v>
      </c>
      <c r="S5" s="5">
        <f t="shared" si="2"/>
        <v>4875.3725999999988</v>
      </c>
      <c r="T5" s="5">
        <f t="shared" si="2"/>
        <v>5850.447119999998</v>
      </c>
      <c r="U5" s="5">
        <f t="shared" si="2"/>
        <v>7020.5365439999978</v>
      </c>
      <c r="V5" s="5">
        <f t="shared" si="2"/>
        <v>7722.5901983999984</v>
      </c>
      <c r="W5" s="5">
        <f t="shared" si="2"/>
        <v>8494.8492182399987</v>
      </c>
      <c r="X5" s="5">
        <f t="shared" si="2"/>
        <v>8579.7977104223992</v>
      </c>
      <c r="Y5" s="5">
        <f t="shared" si="2"/>
        <v>8665.5956875266238</v>
      </c>
      <c r="Z5" s="5">
        <f t="shared" si="2"/>
        <v>8752.2516444018893</v>
      </c>
      <c r="AA5" s="5">
        <f t="shared" si="2"/>
        <v>8839.7741608459091</v>
      </c>
    </row>
    <row r="6" spans="1:163" s="2" customFormat="1" x14ac:dyDescent="0.2">
      <c r="B6" s="2" t="s">
        <v>18</v>
      </c>
      <c r="C6" s="4">
        <f>147.754+0.37</f>
        <v>148.124</v>
      </c>
      <c r="D6" s="4">
        <f>142.808+0.341</f>
        <v>143.149</v>
      </c>
      <c r="E6" s="4">
        <f>146.962+0.349</f>
        <v>147.31099999999998</v>
      </c>
      <c r="F6" s="4">
        <f>+O6-E6-D6-C6</f>
        <v>151.24700000000004</v>
      </c>
      <c r="G6" s="4">
        <f>158.833+0.307</f>
        <v>159.13999999999999</v>
      </c>
      <c r="H6" s="4">
        <f>169.85+0.329</f>
        <v>170.179</v>
      </c>
      <c r="I6" s="4">
        <f>167.657+0.354</f>
        <v>168.01100000000002</v>
      </c>
      <c r="J6" s="4">
        <f>+J5-J7</f>
        <v>174.70804000000004</v>
      </c>
      <c r="M6" s="2">
        <f>315.195+3.223</f>
        <v>318.41800000000001</v>
      </c>
      <c r="N6" s="2">
        <f>453.632+2.624</f>
        <v>456.25600000000003</v>
      </c>
      <c r="O6" s="2">
        <f>588.564+1.267</f>
        <v>589.83100000000002</v>
      </c>
      <c r="P6" s="2">
        <f>SUM(G6:J6)</f>
        <v>672.03804000000002</v>
      </c>
    </row>
    <row r="7" spans="1:163" s="2" customFormat="1" x14ac:dyDescent="0.2">
      <c r="B7" s="2" t="s">
        <v>19</v>
      </c>
      <c r="C7" s="4">
        <f t="shared" ref="C7:I7" si="3">+C5-C6</f>
        <v>93.572000000000003</v>
      </c>
      <c r="D7" s="4">
        <f t="shared" si="3"/>
        <v>118.255</v>
      </c>
      <c r="E7" s="4">
        <f t="shared" si="3"/>
        <v>120.99500000000006</v>
      </c>
      <c r="F7" s="4">
        <f t="shared" si="3"/>
        <v>159.91799999999986</v>
      </c>
      <c r="G7" s="4">
        <f t="shared" si="3"/>
        <v>208.60100000000006</v>
      </c>
      <c r="H7" s="4">
        <f t="shared" si="3"/>
        <v>243.172</v>
      </c>
      <c r="I7" s="4">
        <f t="shared" si="3"/>
        <v>271.74699999999996</v>
      </c>
      <c r="J7" s="4">
        <f>+J5*0.62</f>
        <v>285.04996</v>
      </c>
      <c r="M7" s="2">
        <f>+M5-M6</f>
        <v>307.06799999999998</v>
      </c>
      <c r="N7" s="2">
        <f>+N5-N6</f>
        <v>363.96599999999995</v>
      </c>
      <c r="O7" s="2">
        <f>+O5-O6</f>
        <v>492.7399999999999</v>
      </c>
      <c r="P7" s="2">
        <f>+P5-P6</f>
        <v>1008.5699599999999</v>
      </c>
      <c r="Q7" s="2">
        <f>+Q5*0.6</f>
        <v>1492.461</v>
      </c>
      <c r="R7" s="2">
        <f>+R5*0.6</f>
        <v>2089.4453999999996</v>
      </c>
      <c r="S7" s="2">
        <f t="shared" ref="S7:AA7" si="4">+S5*0.6</f>
        <v>2925.223559999999</v>
      </c>
      <c r="T7" s="2">
        <f t="shared" si="4"/>
        <v>3510.2682719999989</v>
      </c>
      <c r="U7" s="2">
        <f t="shared" si="4"/>
        <v>4212.3219263999981</v>
      </c>
      <c r="V7" s="2">
        <f t="shared" si="4"/>
        <v>4633.554119039999</v>
      </c>
      <c r="W7" s="2">
        <f t="shared" si="4"/>
        <v>5096.909530943999</v>
      </c>
      <c r="X7" s="2">
        <f t="shared" si="4"/>
        <v>5147.8786262534395</v>
      </c>
      <c r="Y7" s="2">
        <f t="shared" si="4"/>
        <v>5199.3574125159739</v>
      </c>
      <c r="Z7" s="2">
        <f t="shared" si="4"/>
        <v>5251.3509866411332</v>
      </c>
      <c r="AA7" s="2">
        <f t="shared" si="4"/>
        <v>5303.8644965075455</v>
      </c>
    </row>
    <row r="8" spans="1:163" s="2" customFormat="1" x14ac:dyDescent="0.2">
      <c r="B8" s="2" t="s">
        <v>20</v>
      </c>
      <c r="C8" s="4">
        <v>82.305999999999997</v>
      </c>
      <c r="D8" s="4">
        <v>78.173000000000002</v>
      </c>
      <c r="E8" s="4">
        <v>77.234999999999999</v>
      </c>
      <c r="F8" s="4">
        <f>+O8-E8-D8-C8</f>
        <v>82.963999999999984</v>
      </c>
      <c r="G8" s="4">
        <v>88.637</v>
      </c>
      <c r="H8" s="4">
        <v>89.108999999999995</v>
      </c>
      <c r="I8" s="4">
        <v>96.930999999999997</v>
      </c>
      <c r="J8" s="4"/>
      <c r="M8" s="2">
        <v>264.20800000000003</v>
      </c>
      <c r="N8" s="2">
        <v>316.41500000000002</v>
      </c>
      <c r="O8" s="2">
        <v>320.678</v>
      </c>
      <c r="P8" s="2">
        <f>SUM(G8:J8)</f>
        <v>274.67699999999996</v>
      </c>
      <c r="Q8" s="2">
        <f>+P8*1.1</f>
        <v>302.1447</v>
      </c>
      <c r="R8" s="2">
        <f t="shared" ref="R8:U8" si="5">+Q8*1.1</f>
        <v>332.35917000000001</v>
      </c>
      <c r="S8" s="2">
        <f t="shared" si="5"/>
        <v>365.59508700000004</v>
      </c>
      <c r="T8" s="2">
        <f t="shared" si="5"/>
        <v>402.15459570000007</v>
      </c>
      <c r="U8" s="2">
        <f t="shared" si="5"/>
        <v>442.37005527000014</v>
      </c>
      <c r="V8" s="2">
        <f>+U8*1.01</f>
        <v>446.79375582270012</v>
      </c>
      <c r="W8" s="2">
        <f t="shared" ref="W8:AA8" si="6">+V8*1.01</f>
        <v>451.26169338092711</v>
      </c>
      <c r="X8" s="2">
        <f t="shared" si="6"/>
        <v>455.7743103147364</v>
      </c>
      <c r="Y8" s="2">
        <f t="shared" si="6"/>
        <v>460.33205341788374</v>
      </c>
      <c r="Z8" s="2">
        <f t="shared" si="6"/>
        <v>464.9353739520626</v>
      </c>
      <c r="AA8" s="2">
        <f t="shared" si="6"/>
        <v>469.58472769158323</v>
      </c>
    </row>
    <row r="9" spans="1:163" s="2" customFormat="1" x14ac:dyDescent="0.2">
      <c r="B9" s="2" t="s">
        <v>21</v>
      </c>
      <c r="C9" s="4">
        <v>149.62700000000001</v>
      </c>
      <c r="D9" s="4">
        <v>152.50800000000001</v>
      </c>
      <c r="E9" s="4">
        <v>154.74199999999999</v>
      </c>
      <c r="F9" s="4">
        <f>+O9-E9-D9-C9</f>
        <v>161.43</v>
      </c>
      <c r="G9" s="4">
        <v>194.27799999999999</v>
      </c>
      <c r="H9" s="4">
        <v>197.965</v>
      </c>
      <c r="I9" s="4">
        <v>214.154</v>
      </c>
      <c r="J9" s="4"/>
      <c r="M9" s="2">
        <v>511.03399999999999</v>
      </c>
      <c r="N9" s="2">
        <v>588.59100000000001</v>
      </c>
      <c r="O9" s="2">
        <v>618.30700000000002</v>
      </c>
      <c r="P9" s="2">
        <f>SUM(G9:J9)</f>
        <v>606.39699999999993</v>
      </c>
      <c r="Q9" s="2">
        <f t="shared" ref="Q9:U9" si="7">+P9*1.1</f>
        <v>667.0367</v>
      </c>
      <c r="R9" s="2">
        <f t="shared" si="7"/>
        <v>733.7403700000001</v>
      </c>
      <c r="S9" s="2">
        <f t="shared" si="7"/>
        <v>807.11440700000014</v>
      </c>
      <c r="T9" s="2">
        <f t="shared" si="7"/>
        <v>887.82584770000028</v>
      </c>
      <c r="U9" s="2">
        <f t="shared" si="7"/>
        <v>976.60843247000037</v>
      </c>
      <c r="V9" s="2">
        <f t="shared" ref="V9:AA9" si="8">+U9*1.01</f>
        <v>986.37451679470041</v>
      </c>
      <c r="W9" s="2">
        <f t="shared" si="8"/>
        <v>996.23826196264747</v>
      </c>
      <c r="X9" s="2">
        <f t="shared" si="8"/>
        <v>1006.200644582274</v>
      </c>
      <c r="Y9" s="2">
        <f t="shared" si="8"/>
        <v>1016.2626510280967</v>
      </c>
      <c r="Z9" s="2">
        <f t="shared" si="8"/>
        <v>1026.4252775383777</v>
      </c>
      <c r="AA9" s="2">
        <f t="shared" si="8"/>
        <v>1036.6895303137615</v>
      </c>
    </row>
    <row r="10" spans="1:163" s="2" customFormat="1" x14ac:dyDescent="0.2">
      <c r="B10" s="2" t="s">
        <v>22</v>
      </c>
      <c r="C10" s="4">
        <f t="shared" ref="C10:I10" si="9">+C8+C9</f>
        <v>231.93299999999999</v>
      </c>
      <c r="D10" s="4">
        <f t="shared" si="9"/>
        <v>230.68100000000001</v>
      </c>
      <c r="E10" s="4">
        <f t="shared" si="9"/>
        <v>231.97699999999998</v>
      </c>
      <c r="F10" s="4">
        <f t="shared" si="9"/>
        <v>244.39400000000001</v>
      </c>
      <c r="G10" s="4">
        <f t="shared" si="9"/>
        <v>282.91499999999996</v>
      </c>
      <c r="H10" s="4">
        <f t="shared" si="9"/>
        <v>287.07400000000001</v>
      </c>
      <c r="I10" s="4">
        <f t="shared" si="9"/>
        <v>311.08499999999998</v>
      </c>
      <c r="J10" s="4"/>
      <c r="M10" s="2">
        <f t="shared" ref="M10:N10" si="10">+M9+M8</f>
        <v>775.24199999999996</v>
      </c>
      <c r="N10" s="2">
        <f t="shared" si="10"/>
        <v>905.00600000000009</v>
      </c>
      <c r="O10" s="2">
        <f>+O9+O8</f>
        <v>938.98500000000001</v>
      </c>
      <c r="P10" s="2">
        <f t="shared" ref="P10" si="11">+P9+P8</f>
        <v>881.07399999999984</v>
      </c>
      <c r="Q10" s="2">
        <f t="shared" ref="Q10" si="12">+Q9+Q8</f>
        <v>969.18139999999994</v>
      </c>
      <c r="R10" s="2">
        <f t="shared" ref="R10" si="13">+R9+R8</f>
        <v>1066.0995400000002</v>
      </c>
      <c r="S10" s="2">
        <f t="shared" ref="S10" si="14">+S9+S8</f>
        <v>1172.7094940000002</v>
      </c>
      <c r="T10" s="2">
        <f t="shared" ref="T10" si="15">+T9+T8</f>
        <v>1289.9804434000002</v>
      </c>
      <c r="U10" s="2">
        <f t="shared" ref="U10" si="16">+U9+U8</f>
        <v>1418.9784877400004</v>
      </c>
      <c r="V10" s="2">
        <f t="shared" ref="V10" si="17">+V9+V8</f>
        <v>1433.1682726174006</v>
      </c>
      <c r="W10" s="2">
        <f t="shared" ref="W10" si="18">+W9+W8</f>
        <v>1447.4999553435746</v>
      </c>
      <c r="X10" s="2">
        <f t="shared" ref="X10" si="19">+X9+X8</f>
        <v>1461.9749548970103</v>
      </c>
      <c r="Y10" s="2">
        <f t="shared" ref="Y10" si="20">+Y9+Y8</f>
        <v>1476.5947044459804</v>
      </c>
      <c r="Z10" s="2">
        <f t="shared" ref="Z10" si="21">+Z9+Z8</f>
        <v>1491.3606514904404</v>
      </c>
      <c r="AA10" s="2">
        <f t="shared" ref="AA10" si="22">+AA9+AA8</f>
        <v>1506.2742580053446</v>
      </c>
    </row>
    <row r="11" spans="1:163" s="2" customFormat="1" x14ac:dyDescent="0.2">
      <c r="B11" s="2" t="s">
        <v>23</v>
      </c>
      <c r="C11" s="4">
        <f t="shared" ref="C11:I11" si="23">+C7-C10</f>
        <v>-138.36099999999999</v>
      </c>
      <c r="D11" s="4">
        <f t="shared" si="23"/>
        <v>-112.42600000000002</v>
      </c>
      <c r="E11" s="4">
        <f t="shared" si="23"/>
        <v>-110.98199999999991</v>
      </c>
      <c r="F11" s="4">
        <f t="shared" si="23"/>
        <v>-84.476000000000141</v>
      </c>
      <c r="G11" s="4">
        <f t="shared" si="23"/>
        <v>-74.313999999999908</v>
      </c>
      <c r="H11" s="4">
        <f t="shared" si="23"/>
        <v>-43.902000000000015</v>
      </c>
      <c r="I11" s="4">
        <f t="shared" si="23"/>
        <v>-39.338000000000022</v>
      </c>
      <c r="J11" s="4"/>
      <c r="M11" s="2">
        <f t="shared" ref="M11:N11" si="24">+M7-M10</f>
        <v>-468.17399999999998</v>
      </c>
      <c r="N11" s="2">
        <f t="shared" si="24"/>
        <v>-541.04000000000019</v>
      </c>
      <c r="O11" s="2">
        <f>+O7-O10</f>
        <v>-446.24500000000012</v>
      </c>
      <c r="P11" s="2">
        <f t="shared" ref="P11" si="25">+P7-P10</f>
        <v>127.49596000000008</v>
      </c>
      <c r="Q11" s="2">
        <f t="shared" ref="Q11" si="26">+Q7-Q10</f>
        <v>523.27960000000007</v>
      </c>
      <c r="R11" s="2">
        <f t="shared" ref="R11" si="27">+R7-R10</f>
        <v>1023.3458599999994</v>
      </c>
      <c r="S11" s="2">
        <f t="shared" ref="S11" si="28">+S7-S10</f>
        <v>1752.5140659999988</v>
      </c>
      <c r="T11" s="2">
        <f t="shared" ref="T11" si="29">+T7-T10</f>
        <v>2220.2878285999986</v>
      </c>
      <c r="U11" s="2">
        <f t="shared" ref="U11" si="30">+U7-U10</f>
        <v>2793.3434386599974</v>
      </c>
      <c r="V11" s="2">
        <f t="shared" ref="V11" si="31">+V7-V10</f>
        <v>3200.3858464225987</v>
      </c>
      <c r="W11" s="2">
        <f t="shared" ref="W11" si="32">+W7-W10</f>
        <v>3649.4095756004244</v>
      </c>
      <c r="X11" s="2">
        <f t="shared" ref="X11" si="33">+X7-X10</f>
        <v>3685.9036713564292</v>
      </c>
      <c r="Y11" s="2">
        <f t="shared" ref="Y11" si="34">+Y7-Y10</f>
        <v>3722.7627080699936</v>
      </c>
      <c r="Z11" s="2">
        <f t="shared" ref="Z11" si="35">+Z7-Z10</f>
        <v>3759.9903351506928</v>
      </c>
      <c r="AA11" s="2">
        <f t="shared" ref="AA11" si="36">+AA7-AA10</f>
        <v>3797.5902385022009</v>
      </c>
    </row>
    <row r="12" spans="1:163" s="2" customFormat="1" x14ac:dyDescent="0.2">
      <c r="B12" s="2" t="s">
        <v>24</v>
      </c>
      <c r="C12" s="4">
        <f>-3.061+4.585</f>
        <v>1.524</v>
      </c>
      <c r="D12" s="4">
        <f>-3.177+4.518</f>
        <v>1.3409999999999997</v>
      </c>
      <c r="E12" s="4">
        <f>-3.252+5.406</f>
        <v>2.1539999999999999</v>
      </c>
      <c r="F12" s="4">
        <f>+O12-E12-D12-C12</f>
        <v>6.6960000000000024</v>
      </c>
      <c r="G12" s="4">
        <f>-3.124+10.267</f>
        <v>7.1429999999999989</v>
      </c>
      <c r="H12" s="4">
        <f>-3.127+10.457</f>
        <v>7.330000000000001</v>
      </c>
      <c r="I12" s="4">
        <f>-3.142+11.618</f>
        <v>8.4760000000000009</v>
      </c>
      <c r="J12" s="4"/>
      <c r="M12" s="2">
        <f>-8.305+5.381</f>
        <v>-2.9239999999999995</v>
      </c>
      <c r="N12" s="2">
        <f>-9.319+3.538</f>
        <v>-5.7810000000000006</v>
      </c>
      <c r="O12" s="2">
        <f>-12.638+24.353</f>
        <v>11.715000000000002</v>
      </c>
      <c r="P12" s="2">
        <f>SUM(G12:J12)</f>
        <v>22.948999999999998</v>
      </c>
    </row>
    <row r="13" spans="1:163" s="2" customFormat="1" x14ac:dyDescent="0.2">
      <c r="B13" s="2" t="s">
        <v>25</v>
      </c>
      <c r="C13" s="4">
        <f t="shared" ref="C13:I13" si="37">+C11+C12</f>
        <v>-136.83699999999999</v>
      </c>
      <c r="D13" s="4">
        <f t="shared" si="37"/>
        <v>-111.08500000000002</v>
      </c>
      <c r="E13" s="4">
        <f t="shared" si="37"/>
        <v>-108.82799999999992</v>
      </c>
      <c r="F13" s="4">
        <f t="shared" si="37"/>
        <v>-77.780000000000143</v>
      </c>
      <c r="G13" s="4">
        <f t="shared" si="37"/>
        <v>-67.170999999999907</v>
      </c>
      <c r="H13" s="4">
        <f t="shared" si="37"/>
        <v>-36.572000000000017</v>
      </c>
      <c r="I13" s="4">
        <f t="shared" si="37"/>
        <v>-30.862000000000023</v>
      </c>
      <c r="J13" s="4"/>
      <c r="M13" s="4">
        <f t="shared" ref="M13:P13" si="38">+M11+M12</f>
        <v>-471.09799999999996</v>
      </c>
      <c r="N13" s="4">
        <f t="shared" si="38"/>
        <v>-546.82100000000014</v>
      </c>
      <c r="O13" s="4">
        <f t="shared" si="38"/>
        <v>-434.53000000000014</v>
      </c>
      <c r="P13" s="4">
        <f t="shared" si="38"/>
        <v>150.44496000000009</v>
      </c>
      <c r="Q13" s="4">
        <f t="shared" ref="Q13" si="39">+Q11+Q12</f>
        <v>523.27960000000007</v>
      </c>
      <c r="R13" s="4">
        <f t="shared" ref="R13" si="40">+R11+R12</f>
        <v>1023.3458599999994</v>
      </c>
      <c r="S13" s="4">
        <f t="shared" ref="S13" si="41">+S11+S12</f>
        <v>1752.5140659999988</v>
      </c>
      <c r="T13" s="4">
        <f t="shared" ref="T13" si="42">+T11+T12</f>
        <v>2220.2878285999986</v>
      </c>
      <c r="U13" s="4">
        <f t="shared" ref="U13" si="43">+U11+U12</f>
        <v>2793.3434386599974</v>
      </c>
      <c r="V13" s="4">
        <f t="shared" ref="V13" si="44">+V11+V12</f>
        <v>3200.3858464225987</v>
      </c>
      <c r="W13" s="4">
        <f t="shared" ref="W13" si="45">+W11+W12</f>
        <v>3649.4095756004244</v>
      </c>
      <c r="X13" s="4">
        <f t="shared" ref="X13" si="46">+X11+X12</f>
        <v>3685.9036713564292</v>
      </c>
      <c r="Y13" s="4">
        <f t="shared" ref="Y13" si="47">+Y11+Y12</f>
        <v>3722.7627080699936</v>
      </c>
      <c r="Z13" s="4">
        <f t="shared" ref="Z13" si="48">+Z11+Z12</f>
        <v>3759.9903351506928</v>
      </c>
      <c r="AA13" s="4">
        <f t="shared" ref="AA13" si="49">+AA11+AA12</f>
        <v>3797.5902385022009</v>
      </c>
    </row>
    <row r="14" spans="1:163" s="2" customFormat="1" x14ac:dyDescent="0.2">
      <c r="B14" s="2" t="s">
        <v>26</v>
      </c>
      <c r="C14" s="4">
        <v>0.16</v>
      </c>
      <c r="D14" s="4">
        <v>0.28199999999999997</v>
      </c>
      <c r="E14" s="4">
        <v>0.20200000000000001</v>
      </c>
      <c r="F14" s="4">
        <f>+O14-E14-D14-C14</f>
        <v>-0.373</v>
      </c>
      <c r="G14" s="4">
        <v>0.42799999999999999</v>
      </c>
      <c r="H14" s="4">
        <v>0.89200000000000002</v>
      </c>
      <c r="I14" s="4">
        <v>0.73</v>
      </c>
      <c r="J14" s="4"/>
      <c r="M14" s="2">
        <v>0.61799999999999999</v>
      </c>
      <c r="N14" s="2">
        <v>0.97799999999999998</v>
      </c>
      <c r="O14" s="2">
        <v>0.27100000000000002</v>
      </c>
      <c r="P14" s="2">
        <f>SUM(G14:J14)</f>
        <v>2.0499999999999998</v>
      </c>
      <c r="Q14" s="2">
        <f>+Q13*0.1</f>
        <v>52.327960000000012</v>
      </c>
      <c r="R14" s="2">
        <f t="shared" ref="R14:S14" si="50">+R13*0.1</f>
        <v>102.33458599999994</v>
      </c>
      <c r="S14" s="2">
        <f t="shared" si="50"/>
        <v>175.25140659999988</v>
      </c>
      <c r="T14" s="2">
        <f>+T13*0.25</f>
        <v>555.07195714999966</v>
      </c>
      <c r="U14" s="2">
        <f t="shared" ref="U14:AA14" si="51">+U13*0.25</f>
        <v>698.33585966499936</v>
      </c>
      <c r="V14" s="2">
        <f t="shared" si="51"/>
        <v>800.09646160564967</v>
      </c>
      <c r="W14" s="2">
        <f t="shared" si="51"/>
        <v>912.35239390010611</v>
      </c>
      <c r="X14" s="2">
        <f t="shared" si="51"/>
        <v>921.4759178391073</v>
      </c>
      <c r="Y14" s="2">
        <f t="shared" si="51"/>
        <v>930.69067701749839</v>
      </c>
      <c r="Z14" s="2">
        <f t="shared" si="51"/>
        <v>939.99758378767319</v>
      </c>
      <c r="AA14" s="2">
        <f t="shared" si="51"/>
        <v>949.39755962555023</v>
      </c>
    </row>
    <row r="15" spans="1:163" s="2" customFormat="1" x14ac:dyDescent="0.2">
      <c r="B15" s="2" t="s">
        <v>27</v>
      </c>
      <c r="C15" s="4">
        <f t="shared" ref="C15:I15" si="52">+C13-C14</f>
        <v>-136.99699999999999</v>
      </c>
      <c r="D15" s="4">
        <f t="shared" si="52"/>
        <v>-111.36700000000002</v>
      </c>
      <c r="E15" s="4">
        <f t="shared" si="52"/>
        <v>-109.02999999999992</v>
      </c>
      <c r="F15" s="4">
        <f t="shared" si="52"/>
        <v>-77.407000000000139</v>
      </c>
      <c r="G15" s="4">
        <f t="shared" si="52"/>
        <v>-67.598999999999904</v>
      </c>
      <c r="H15" s="4">
        <f t="shared" si="52"/>
        <v>-37.46400000000002</v>
      </c>
      <c r="I15" s="4">
        <f t="shared" si="52"/>
        <v>-31.592000000000024</v>
      </c>
      <c r="J15" s="4"/>
      <c r="M15" s="4">
        <f t="shared" ref="M15:P15" si="53">+M13-M14</f>
        <v>-471.71599999999995</v>
      </c>
      <c r="N15" s="4">
        <f t="shared" si="53"/>
        <v>-547.79900000000009</v>
      </c>
      <c r="O15" s="4">
        <f t="shared" si="53"/>
        <v>-434.80100000000016</v>
      </c>
      <c r="P15" s="4">
        <f t="shared" si="53"/>
        <v>148.39496000000008</v>
      </c>
      <c r="Q15" s="4">
        <f t="shared" ref="Q15" si="54">+Q13-Q14</f>
        <v>470.95164000000005</v>
      </c>
      <c r="R15" s="4">
        <f t="shared" ref="R15" si="55">+R13-R14</f>
        <v>921.0112739999995</v>
      </c>
      <c r="S15" s="4">
        <f t="shared" ref="S15" si="56">+S13-S14</f>
        <v>1577.2626593999989</v>
      </c>
      <c r="T15" s="4">
        <f t="shared" ref="T15" si="57">+T13-T14</f>
        <v>1665.215871449999</v>
      </c>
      <c r="U15" s="4">
        <f t="shared" ref="U15" si="58">+U13-U14</f>
        <v>2095.0075789949979</v>
      </c>
      <c r="V15" s="4">
        <f t="shared" ref="V15" si="59">+V13-V14</f>
        <v>2400.2893848169488</v>
      </c>
      <c r="W15" s="4">
        <f t="shared" ref="W15" si="60">+W13-W14</f>
        <v>2737.0571817003183</v>
      </c>
      <c r="X15" s="4">
        <f t="shared" ref="X15" si="61">+X13-X14</f>
        <v>2764.4277535173219</v>
      </c>
      <c r="Y15" s="4">
        <f t="shared" ref="Y15" si="62">+Y13-Y14</f>
        <v>2792.0720310524953</v>
      </c>
      <c r="Z15" s="4">
        <f t="shared" ref="Z15" si="63">+Z13-Z14</f>
        <v>2819.9927513630196</v>
      </c>
      <c r="AA15" s="4">
        <f t="shared" ref="AA15" si="64">+AA13-AA14</f>
        <v>2848.1926788766505</v>
      </c>
      <c r="AB15" s="2">
        <f>+AA15*(1+$AC$23)</f>
        <v>2819.710752087884</v>
      </c>
      <c r="AC15" s="2">
        <f t="shared" ref="AC15:CN15" si="65">+AB15*(1+$AC$23)</f>
        <v>2791.513644567005</v>
      </c>
      <c r="AD15" s="2">
        <f t="shared" si="65"/>
        <v>2763.5985081213348</v>
      </c>
      <c r="AE15" s="2">
        <f t="shared" si="65"/>
        <v>2735.9625230401216</v>
      </c>
      <c r="AF15" s="2">
        <f t="shared" si="65"/>
        <v>2708.6028978097202</v>
      </c>
      <c r="AG15" s="2">
        <f t="shared" si="65"/>
        <v>2681.516868831623</v>
      </c>
      <c r="AH15" s="2">
        <f t="shared" si="65"/>
        <v>2654.7017001433069</v>
      </c>
      <c r="AI15" s="2">
        <f t="shared" si="65"/>
        <v>2628.1546831418736</v>
      </c>
      <c r="AJ15" s="2">
        <f t="shared" si="65"/>
        <v>2601.8731363104548</v>
      </c>
      <c r="AK15" s="2">
        <f t="shared" si="65"/>
        <v>2575.8544049473503</v>
      </c>
      <c r="AL15" s="2">
        <f t="shared" si="65"/>
        <v>2550.0958608978767</v>
      </c>
      <c r="AM15" s="2">
        <f t="shared" si="65"/>
        <v>2524.5949022888981</v>
      </c>
      <c r="AN15" s="2">
        <f t="shared" si="65"/>
        <v>2499.3489532660092</v>
      </c>
      <c r="AO15" s="2">
        <f t="shared" si="65"/>
        <v>2474.3554637333491</v>
      </c>
      <c r="AP15" s="2">
        <f t="shared" si="65"/>
        <v>2449.6119090960156</v>
      </c>
      <c r="AQ15" s="2">
        <f t="shared" si="65"/>
        <v>2425.1157900050553</v>
      </c>
      <c r="AR15" s="2">
        <f t="shared" si="65"/>
        <v>2400.8646321050046</v>
      </c>
      <c r="AS15" s="2">
        <f t="shared" si="65"/>
        <v>2376.8559857839546</v>
      </c>
      <c r="AT15" s="2">
        <f t="shared" si="65"/>
        <v>2353.087425926115</v>
      </c>
      <c r="AU15" s="2">
        <f t="shared" si="65"/>
        <v>2329.5565516668539</v>
      </c>
      <c r="AV15" s="2">
        <f t="shared" si="65"/>
        <v>2306.2609861501855</v>
      </c>
      <c r="AW15" s="2">
        <f t="shared" si="65"/>
        <v>2283.1983762886834</v>
      </c>
      <c r="AX15" s="2">
        <f t="shared" si="65"/>
        <v>2260.3663925257965</v>
      </c>
      <c r="AY15" s="2">
        <f t="shared" si="65"/>
        <v>2237.7627286005386</v>
      </c>
      <c r="AZ15" s="2">
        <f t="shared" si="65"/>
        <v>2215.3851013145331</v>
      </c>
      <c r="BA15" s="2">
        <f t="shared" si="65"/>
        <v>2193.2312503013877</v>
      </c>
      <c r="BB15" s="2">
        <f t="shared" si="65"/>
        <v>2171.298937798374</v>
      </c>
      <c r="BC15" s="2">
        <f t="shared" si="65"/>
        <v>2149.5859484203902</v>
      </c>
      <c r="BD15" s="2">
        <f t="shared" si="65"/>
        <v>2128.0900889361865</v>
      </c>
      <c r="BE15" s="2">
        <f t="shared" si="65"/>
        <v>2106.8091880468246</v>
      </c>
      <c r="BF15" s="2">
        <f t="shared" si="65"/>
        <v>2085.7410961663563</v>
      </c>
      <c r="BG15" s="2">
        <f t="shared" si="65"/>
        <v>2064.8836852046929</v>
      </c>
      <c r="BH15" s="2">
        <f t="shared" si="65"/>
        <v>2044.2348483526459</v>
      </c>
      <c r="BI15" s="2">
        <f t="shared" si="65"/>
        <v>2023.7924998691194</v>
      </c>
      <c r="BJ15" s="2">
        <f t="shared" si="65"/>
        <v>2003.5545748704283</v>
      </c>
      <c r="BK15" s="2">
        <f t="shared" si="65"/>
        <v>1983.5190291217239</v>
      </c>
      <c r="BL15" s="2">
        <f t="shared" si="65"/>
        <v>1963.6838388305066</v>
      </c>
      <c r="BM15" s="2">
        <f t="shared" si="65"/>
        <v>1944.0470004422016</v>
      </c>
      <c r="BN15" s="2">
        <f t="shared" si="65"/>
        <v>1924.6065304377796</v>
      </c>
      <c r="BO15" s="2">
        <f t="shared" si="65"/>
        <v>1905.3604651334017</v>
      </c>
      <c r="BP15" s="2">
        <f t="shared" si="65"/>
        <v>1886.3068604820676</v>
      </c>
      <c r="BQ15" s="2">
        <f t="shared" si="65"/>
        <v>1867.4437918772469</v>
      </c>
      <c r="BR15" s="2">
        <f t="shared" si="65"/>
        <v>1848.7693539584743</v>
      </c>
      <c r="BS15" s="2">
        <f t="shared" si="65"/>
        <v>1830.2816604188895</v>
      </c>
      <c r="BT15" s="2">
        <f t="shared" si="65"/>
        <v>1811.9788438147007</v>
      </c>
      <c r="BU15" s="2">
        <f t="shared" si="65"/>
        <v>1793.8590553765537</v>
      </c>
      <c r="BV15" s="2">
        <f t="shared" si="65"/>
        <v>1775.9204648227881</v>
      </c>
      <c r="BW15" s="2">
        <f t="shared" si="65"/>
        <v>1758.1612601745601</v>
      </c>
      <c r="BX15" s="2">
        <f t="shared" si="65"/>
        <v>1740.5796475728146</v>
      </c>
      <c r="BY15" s="2">
        <f t="shared" si="65"/>
        <v>1723.1738510970863</v>
      </c>
      <c r="BZ15" s="2">
        <f t="shared" si="65"/>
        <v>1705.9421125861154</v>
      </c>
      <c r="CA15" s="2">
        <f t="shared" si="65"/>
        <v>1688.8826914602541</v>
      </c>
      <c r="CB15" s="2">
        <f t="shared" si="65"/>
        <v>1671.9938645456516</v>
      </c>
      <c r="CC15" s="2">
        <f t="shared" si="65"/>
        <v>1655.2739259001951</v>
      </c>
      <c r="CD15" s="2">
        <f t="shared" si="65"/>
        <v>1638.7211866411931</v>
      </c>
      <c r="CE15" s="2">
        <f t="shared" si="65"/>
        <v>1622.3339747747812</v>
      </c>
      <c r="CF15" s="2">
        <f t="shared" si="65"/>
        <v>1606.1106350270334</v>
      </c>
      <c r="CG15" s="2">
        <f t="shared" si="65"/>
        <v>1590.049528676763</v>
      </c>
      <c r="CH15" s="2">
        <f t="shared" si="65"/>
        <v>1574.1490333899953</v>
      </c>
      <c r="CI15" s="2">
        <f t="shared" si="65"/>
        <v>1558.4075430560954</v>
      </c>
      <c r="CJ15" s="2">
        <f t="shared" si="65"/>
        <v>1542.8234676255345</v>
      </c>
      <c r="CK15" s="2">
        <f t="shared" si="65"/>
        <v>1527.395232949279</v>
      </c>
      <c r="CL15" s="2">
        <f t="shared" si="65"/>
        <v>1512.1212806197861</v>
      </c>
      <c r="CM15" s="2">
        <f t="shared" si="65"/>
        <v>1497.0000678135882</v>
      </c>
      <c r="CN15" s="2">
        <f t="shared" si="65"/>
        <v>1482.0300671354523</v>
      </c>
      <c r="CO15" s="2">
        <f t="shared" ref="CO15:EZ15" si="66">+CN15*(1+$AC$23)</f>
        <v>1467.2097664640978</v>
      </c>
      <c r="CP15" s="2">
        <f t="shared" si="66"/>
        <v>1452.5376687994569</v>
      </c>
      <c r="CQ15" s="2">
        <f t="shared" si="66"/>
        <v>1438.0122921114623</v>
      </c>
      <c r="CR15" s="2">
        <f t="shared" si="66"/>
        <v>1423.6321691903477</v>
      </c>
      <c r="CS15" s="2">
        <f t="shared" si="66"/>
        <v>1409.3958474984443</v>
      </c>
      <c r="CT15" s="2">
        <f t="shared" si="66"/>
        <v>1395.3018890234598</v>
      </c>
      <c r="CU15" s="2">
        <f t="shared" si="66"/>
        <v>1381.3488701332251</v>
      </c>
      <c r="CV15" s="2">
        <f t="shared" si="66"/>
        <v>1367.5353814318928</v>
      </c>
      <c r="CW15" s="2">
        <f t="shared" si="66"/>
        <v>1353.8600276175739</v>
      </c>
      <c r="CX15" s="2">
        <f t="shared" si="66"/>
        <v>1340.3214273413982</v>
      </c>
      <c r="CY15" s="2">
        <f t="shared" si="66"/>
        <v>1326.9182130679842</v>
      </c>
      <c r="CZ15" s="2">
        <f t="shared" si="66"/>
        <v>1313.6490309373044</v>
      </c>
      <c r="DA15" s="2">
        <f t="shared" si="66"/>
        <v>1300.5125406279312</v>
      </c>
      <c r="DB15" s="2">
        <f t="shared" si="66"/>
        <v>1287.5074152216519</v>
      </c>
      <c r="DC15" s="2">
        <f t="shared" si="66"/>
        <v>1274.6323410694354</v>
      </c>
      <c r="DD15" s="2">
        <f t="shared" si="66"/>
        <v>1261.8860176587409</v>
      </c>
      <c r="DE15" s="2">
        <f t="shared" si="66"/>
        <v>1249.2671574821534</v>
      </c>
      <c r="DF15" s="2">
        <f t="shared" si="66"/>
        <v>1236.7744859073318</v>
      </c>
      <c r="DG15" s="2">
        <f t="shared" si="66"/>
        <v>1224.4067410482585</v>
      </c>
      <c r="DH15" s="2">
        <f t="shared" si="66"/>
        <v>1212.1626736377759</v>
      </c>
      <c r="DI15" s="2">
        <f t="shared" si="66"/>
        <v>1200.0410469013982</v>
      </c>
      <c r="DJ15" s="2">
        <f t="shared" si="66"/>
        <v>1188.0406364323842</v>
      </c>
      <c r="DK15" s="2">
        <f t="shared" si="66"/>
        <v>1176.1602300680604</v>
      </c>
      <c r="DL15" s="2">
        <f t="shared" si="66"/>
        <v>1164.3986277673798</v>
      </c>
      <c r="DM15" s="2">
        <f t="shared" si="66"/>
        <v>1152.754641489706</v>
      </c>
      <c r="DN15" s="2">
        <f t="shared" si="66"/>
        <v>1141.2270950748091</v>
      </c>
      <c r="DO15" s="2">
        <f t="shared" si="66"/>
        <v>1129.814824124061</v>
      </c>
      <c r="DP15" s="2">
        <f t="shared" si="66"/>
        <v>1118.5166758828204</v>
      </c>
      <c r="DQ15" s="2">
        <f t="shared" si="66"/>
        <v>1107.3315091239922</v>
      </c>
      <c r="DR15" s="2">
        <f t="shared" si="66"/>
        <v>1096.2581940327523</v>
      </c>
      <c r="DS15" s="2">
        <f t="shared" si="66"/>
        <v>1085.2956120924248</v>
      </c>
      <c r="DT15" s="2">
        <f t="shared" si="66"/>
        <v>1074.4426559715005</v>
      </c>
      <c r="DU15" s="2">
        <f t="shared" si="66"/>
        <v>1063.6982294117854</v>
      </c>
      <c r="DV15" s="2">
        <f t="shared" si="66"/>
        <v>1053.0612471176676</v>
      </c>
      <c r="DW15" s="2">
        <f t="shared" si="66"/>
        <v>1042.5306346464909</v>
      </c>
      <c r="DX15" s="2">
        <f t="shared" si="66"/>
        <v>1032.105328300026</v>
      </c>
      <c r="DY15" s="2">
        <f t="shared" si="66"/>
        <v>1021.7842750170257</v>
      </c>
      <c r="DZ15" s="2">
        <f t="shared" si="66"/>
        <v>1011.5664322668555</v>
      </c>
      <c r="EA15" s="2">
        <f t="shared" si="66"/>
        <v>1001.450767944187</v>
      </c>
      <c r="EB15" s="2">
        <f t="shared" si="66"/>
        <v>991.4362602647451</v>
      </c>
      <c r="EC15" s="2">
        <f t="shared" si="66"/>
        <v>981.52189766209767</v>
      </c>
      <c r="ED15" s="2">
        <f t="shared" si="66"/>
        <v>971.70667868547673</v>
      </c>
      <c r="EE15" s="2">
        <f t="shared" si="66"/>
        <v>961.989611898622</v>
      </c>
      <c r="EF15" s="2">
        <f t="shared" si="66"/>
        <v>952.36971577963573</v>
      </c>
      <c r="EG15" s="2">
        <f t="shared" si="66"/>
        <v>942.84601862183933</v>
      </c>
      <c r="EH15" s="2">
        <f t="shared" si="66"/>
        <v>933.41755843562089</v>
      </c>
      <c r="EI15" s="2">
        <f t="shared" si="66"/>
        <v>924.08338285126467</v>
      </c>
      <c r="EJ15" s="2">
        <f t="shared" si="66"/>
        <v>914.842549022752</v>
      </c>
      <c r="EK15" s="2">
        <f t="shared" si="66"/>
        <v>905.69412353252449</v>
      </c>
      <c r="EL15" s="2">
        <f t="shared" si="66"/>
        <v>896.63718229719927</v>
      </c>
      <c r="EM15" s="2">
        <f t="shared" si="66"/>
        <v>887.67081047422732</v>
      </c>
      <c r="EN15" s="2">
        <f t="shared" si="66"/>
        <v>878.79410236948502</v>
      </c>
      <c r="EO15" s="2">
        <f t="shared" si="66"/>
        <v>870.00616134579013</v>
      </c>
      <c r="EP15" s="2">
        <f t="shared" si="66"/>
        <v>861.3060997323322</v>
      </c>
      <c r="EQ15" s="2">
        <f t="shared" si="66"/>
        <v>852.69303873500883</v>
      </c>
      <c r="ER15" s="2">
        <f t="shared" si="66"/>
        <v>844.16610834765868</v>
      </c>
      <c r="ES15" s="2">
        <f t="shared" si="66"/>
        <v>835.72444726418212</v>
      </c>
      <c r="ET15" s="2">
        <f t="shared" si="66"/>
        <v>827.36720279154031</v>
      </c>
      <c r="EU15" s="2">
        <f t="shared" si="66"/>
        <v>819.09353076362493</v>
      </c>
      <c r="EV15" s="2">
        <f t="shared" si="66"/>
        <v>810.90259545598872</v>
      </c>
      <c r="EW15" s="2">
        <f t="shared" si="66"/>
        <v>802.79356950142881</v>
      </c>
      <c r="EX15" s="2">
        <f t="shared" si="66"/>
        <v>794.76563380641448</v>
      </c>
      <c r="EY15" s="2">
        <f t="shared" si="66"/>
        <v>786.81797746835036</v>
      </c>
      <c r="EZ15" s="2">
        <f t="shared" si="66"/>
        <v>778.94979769366682</v>
      </c>
      <c r="FA15" s="2">
        <f t="shared" ref="FA15:FG15" si="67">+EZ15*(1+$AC$23)</f>
        <v>771.16029971673015</v>
      </c>
      <c r="FB15" s="2">
        <f t="shared" si="67"/>
        <v>763.4486967195628</v>
      </c>
      <c r="FC15" s="2">
        <f t="shared" si="67"/>
        <v>755.81420975236722</v>
      </c>
      <c r="FD15" s="2">
        <f t="shared" si="67"/>
        <v>748.25606765484349</v>
      </c>
      <c r="FE15" s="2">
        <f t="shared" si="67"/>
        <v>740.77350697829502</v>
      </c>
      <c r="FF15" s="2">
        <f t="shared" si="67"/>
        <v>733.3657719085121</v>
      </c>
      <c r="FG15" s="2">
        <f t="shared" si="67"/>
        <v>726.03211418942692</v>
      </c>
    </row>
    <row r="16" spans="1:163" x14ac:dyDescent="0.2">
      <c r="B16" s="2" t="s">
        <v>28</v>
      </c>
      <c r="C16" s="3">
        <f t="shared" ref="C16:I16" si="68">+C15/C17</f>
        <v>-1.2257374717045282</v>
      </c>
      <c r="D16" s="3">
        <f t="shared" si="68"/>
        <v>-0.97956724426070918</v>
      </c>
      <c r="E16" s="3">
        <f t="shared" si="68"/>
        <v>-0.94667928558404379</v>
      </c>
      <c r="F16" s="3">
        <f t="shared" si="68"/>
        <v>-0.6731219075280237</v>
      </c>
      <c r="G16" s="3">
        <f t="shared" si="68"/>
        <v>-0.55952952472395512</v>
      </c>
      <c r="H16" s="3">
        <f t="shared" si="68"/>
        <v>-0.30494981807526084</v>
      </c>
      <c r="I16" s="3">
        <f t="shared" si="68"/>
        <v>-0.25523732579276931</v>
      </c>
      <c r="M16" s="3">
        <f t="shared" ref="M16:Q16" si="69">+M15/M17</f>
        <v>-5.2089931314737505</v>
      </c>
      <c r="N16" s="3">
        <f t="shared" si="69"/>
        <v>-5.5666104381757586</v>
      </c>
      <c r="O16" s="3">
        <f t="shared" si="69"/>
        <v>-3.7809768950494376</v>
      </c>
      <c r="P16" s="3">
        <f t="shared" si="69"/>
        <v>1.2115786437043132</v>
      </c>
      <c r="Q16" s="3">
        <f t="shared" si="69"/>
        <v>3.8451100309708748</v>
      </c>
      <c r="R16" s="3">
        <f t="shared" ref="R16" si="70">+R15/R17</f>
        <v>7.5196461536786723</v>
      </c>
      <c r="S16" s="3">
        <f t="shared" ref="S16" si="71">+S15/S17</f>
        <v>12.877645936501535</v>
      </c>
      <c r="T16" s="3">
        <f t="shared" ref="T16" si="72">+T15/T17</f>
        <v>13.595744673581128</v>
      </c>
      <c r="U16" s="3">
        <f t="shared" ref="U16" si="73">+U15/U17</f>
        <v>17.104802219084899</v>
      </c>
      <c r="V16" s="3">
        <f t="shared" ref="V16" si="74">+V15/V17</f>
        <v>19.597291965673076</v>
      </c>
      <c r="W16" s="3">
        <f t="shared" ref="W16" si="75">+W15/W17</f>
        <v>22.346850782166861</v>
      </c>
      <c r="X16" s="3">
        <f t="shared" ref="X16" si="76">+X15/X17</f>
        <v>22.570319289988532</v>
      </c>
      <c r="Y16" s="3">
        <f t="shared" ref="Y16" si="77">+Y15/Y17</f>
        <v>22.796022482888418</v>
      </c>
      <c r="Z16" s="3">
        <f t="shared" ref="Z16" si="78">+Z15/Z17</f>
        <v>23.023982707717298</v>
      </c>
      <c r="AA16" s="3">
        <f t="shared" ref="AA16" si="79">+AA15/AA17</f>
        <v>23.254222534794476</v>
      </c>
    </row>
    <row r="17" spans="2:29" x14ac:dyDescent="0.2">
      <c r="B17" s="2" t="s">
        <v>1</v>
      </c>
      <c r="C17" s="4">
        <v>111.767</v>
      </c>
      <c r="D17" s="4">
        <v>113.69</v>
      </c>
      <c r="E17" s="4">
        <v>115.17100000000001</v>
      </c>
      <c r="F17" s="4">
        <f>+O17</f>
        <v>114.997</v>
      </c>
      <c r="G17" s="4">
        <v>120.81399999999999</v>
      </c>
      <c r="H17" s="4">
        <v>122.85299999999999</v>
      </c>
      <c r="I17" s="4">
        <v>123.77500000000001</v>
      </c>
      <c r="M17" s="2">
        <v>90.558000000000007</v>
      </c>
      <c r="N17" s="2">
        <v>98.408000000000001</v>
      </c>
      <c r="O17" s="2">
        <v>114.997</v>
      </c>
      <c r="P17" s="2">
        <f>AVERAGE(G17:J17)</f>
        <v>122.48066666666666</v>
      </c>
      <c r="Q17" s="2">
        <f>+P17</f>
        <v>122.48066666666666</v>
      </c>
      <c r="R17" s="2">
        <f t="shared" ref="R17:AA17" si="80">+Q17</f>
        <v>122.48066666666666</v>
      </c>
      <c r="S17" s="2">
        <f t="shared" si="80"/>
        <v>122.48066666666666</v>
      </c>
      <c r="T17" s="2">
        <f t="shared" si="80"/>
        <v>122.48066666666666</v>
      </c>
      <c r="U17" s="2">
        <f t="shared" si="80"/>
        <v>122.48066666666666</v>
      </c>
      <c r="V17" s="2">
        <f t="shared" si="80"/>
        <v>122.48066666666666</v>
      </c>
      <c r="W17" s="2">
        <f t="shared" si="80"/>
        <v>122.48066666666666</v>
      </c>
      <c r="X17" s="2">
        <f t="shared" si="80"/>
        <v>122.48066666666666</v>
      </c>
      <c r="Y17" s="2">
        <f t="shared" si="80"/>
        <v>122.48066666666666</v>
      </c>
      <c r="Z17" s="2">
        <f t="shared" si="80"/>
        <v>122.48066666666666</v>
      </c>
      <c r="AA17" s="2">
        <f t="shared" si="80"/>
        <v>122.48066666666666</v>
      </c>
    </row>
    <row r="19" spans="2:29" s="11" customFormat="1" x14ac:dyDescent="0.2">
      <c r="B19" s="5" t="s">
        <v>29</v>
      </c>
      <c r="C19" s="9"/>
      <c r="D19" s="9"/>
      <c r="E19" s="9"/>
      <c r="F19" s="9"/>
      <c r="G19" s="10">
        <f>+G5/C5-1</f>
        <v>0.52150221766185645</v>
      </c>
      <c r="H19" s="10">
        <f>+H5/D5-1</f>
        <v>0.58127266606478867</v>
      </c>
      <c r="I19" s="10">
        <f>+I5/E5-1</f>
        <v>0.63901664517379375</v>
      </c>
      <c r="J19" s="9"/>
      <c r="N19" s="12">
        <f>+N5/M5-1</f>
        <v>0.3113355055109146</v>
      </c>
      <c r="O19" s="12">
        <f>+O5/N5-1</f>
        <v>0.31985121101360359</v>
      </c>
      <c r="P19" s="12">
        <f>+P5/O5-1</f>
        <v>0.55242288958414743</v>
      </c>
      <c r="Q19" s="12">
        <f t="shared" ref="Q19:AA19" si="81">+Q5/P5-1</f>
        <v>0.48008042327538614</v>
      </c>
      <c r="R19" s="12">
        <f t="shared" si="81"/>
        <v>0.39999999999999991</v>
      </c>
      <c r="S19" s="12">
        <f t="shared" si="81"/>
        <v>0.39999999999999969</v>
      </c>
      <c r="T19" s="12">
        <f t="shared" si="81"/>
        <v>0.19999999999999996</v>
      </c>
      <c r="U19" s="12">
        <f t="shared" si="81"/>
        <v>0.19999999999999996</v>
      </c>
      <c r="V19" s="12">
        <f t="shared" si="81"/>
        <v>0.10000000000000009</v>
      </c>
      <c r="W19" s="12">
        <f t="shared" si="81"/>
        <v>0.10000000000000009</v>
      </c>
      <c r="X19" s="12">
        <f t="shared" si="81"/>
        <v>1.0000000000000009E-2</v>
      </c>
      <c r="Y19" s="12">
        <f t="shared" si="81"/>
        <v>1.0000000000000009E-2</v>
      </c>
      <c r="Z19" s="12">
        <f t="shared" si="81"/>
        <v>1.0000000000000009E-2</v>
      </c>
      <c r="AA19" s="12">
        <f t="shared" si="81"/>
        <v>1.0000000000000009E-2</v>
      </c>
    </row>
    <row r="20" spans="2:29" x14ac:dyDescent="0.2">
      <c r="B20" s="2" t="s">
        <v>30</v>
      </c>
      <c r="G20" s="8">
        <f>+G7/G5</f>
        <v>0.56724977633715046</v>
      </c>
      <c r="H20" s="8">
        <f>+H7/H5</f>
        <v>0.58829421000554005</v>
      </c>
      <c r="I20" s="8">
        <f>+I7/I5</f>
        <v>0.61794668886069148</v>
      </c>
      <c r="M20" s="8">
        <f t="shared" ref="M20:P20" si="82">+M7/M5</f>
        <v>0.49092705512193718</v>
      </c>
      <c r="N20" s="8">
        <f t="shared" si="82"/>
        <v>0.44374084089429444</v>
      </c>
      <c r="O20" s="8">
        <f t="shared" si="82"/>
        <v>0.4551572137069993</v>
      </c>
      <c r="P20" s="8">
        <f t="shared" si="82"/>
        <v>0.60012207486814295</v>
      </c>
      <c r="Q20" s="8">
        <f t="shared" ref="Q20:AA20" si="83">+Q7/Q5</f>
        <v>0.6</v>
      </c>
      <c r="R20" s="8">
        <f t="shared" si="83"/>
        <v>0.6</v>
      </c>
      <c r="S20" s="8">
        <f t="shared" si="83"/>
        <v>0.6</v>
      </c>
      <c r="T20" s="8">
        <f t="shared" si="83"/>
        <v>0.6</v>
      </c>
      <c r="U20" s="8">
        <f t="shared" si="83"/>
        <v>0.59999999999999987</v>
      </c>
      <c r="V20" s="8">
        <f t="shared" si="83"/>
        <v>0.6</v>
      </c>
      <c r="W20" s="8">
        <f t="shared" si="83"/>
        <v>0.6</v>
      </c>
      <c r="X20" s="8">
        <f t="shared" si="83"/>
        <v>0.6</v>
      </c>
      <c r="Y20" s="8">
        <f t="shared" si="83"/>
        <v>0.6</v>
      </c>
      <c r="Z20" s="8">
        <f t="shared" si="83"/>
        <v>0.6</v>
      </c>
      <c r="AA20" s="8">
        <f t="shared" si="83"/>
        <v>0.6</v>
      </c>
    </row>
    <row r="22" spans="2:29" x14ac:dyDescent="0.2">
      <c r="AB22" t="s">
        <v>44</v>
      </c>
      <c r="AC22" s="13">
        <v>0.09</v>
      </c>
    </row>
    <row r="23" spans="2:29" x14ac:dyDescent="0.2">
      <c r="AB23" t="s">
        <v>45</v>
      </c>
      <c r="AC23" s="13">
        <v>-0.01</v>
      </c>
    </row>
    <row r="24" spans="2:29" x14ac:dyDescent="0.2">
      <c r="AB24" t="s">
        <v>46</v>
      </c>
      <c r="AC24" s="2">
        <f>NPV(AC22,Q15:FG15)</f>
        <v>23790.135932911187</v>
      </c>
    </row>
    <row r="25" spans="2:29" s="2" customFormat="1" x14ac:dyDescent="0.2">
      <c r="B25" s="2" t="s">
        <v>31</v>
      </c>
      <c r="C25" s="4">
        <v>-81.108000000000004</v>
      </c>
      <c r="D25" s="4">
        <f>-159.651-C25</f>
        <v>-78.543000000000006</v>
      </c>
      <c r="E25" s="4">
        <f>-189.35-D25-C25</f>
        <v>-29.698999999999984</v>
      </c>
      <c r="F25" s="4"/>
      <c r="G25" s="4">
        <v>27.001000000000001</v>
      </c>
      <c r="H25" s="4">
        <f>30.991-G25</f>
        <v>3.9899999999999984</v>
      </c>
      <c r="I25" s="4">
        <f>82.777-H25-G25</f>
        <v>51.786000000000001</v>
      </c>
      <c r="J25" s="4"/>
      <c r="M25" s="2">
        <v>-335.23599999999999</v>
      </c>
      <c r="N25" s="2">
        <v>-431.50099999999998</v>
      </c>
      <c r="O25" s="2">
        <v>-246.95500000000001</v>
      </c>
      <c r="P25" s="2">
        <f>SUM(G25:J25)</f>
        <v>82.777000000000001</v>
      </c>
      <c r="AB25" s="2" t="s">
        <v>47</v>
      </c>
      <c r="AC25" s="2">
        <f>AC24/Main!L3</f>
        <v>180.1998855461641</v>
      </c>
    </row>
    <row r="26" spans="2:29" s="2" customFormat="1" x14ac:dyDescent="0.2">
      <c r="B26" s="2" t="s">
        <v>32</v>
      </c>
      <c r="C26" s="4">
        <v>-11.38</v>
      </c>
      <c r="D26" s="4">
        <f>-20.19-C26</f>
        <v>-8.81</v>
      </c>
      <c r="E26" s="4">
        <f>-29.147-D26-C26</f>
        <v>-8.9569999999999954</v>
      </c>
      <c r="F26" s="4"/>
      <c r="G26" s="4">
        <v>-20.315000000000001</v>
      </c>
      <c r="H26" s="4">
        <f>-31.993-G26</f>
        <v>-11.677999999999997</v>
      </c>
      <c r="I26" s="4">
        <f>-48.305-H26-G26</f>
        <v>-16.312000000000001</v>
      </c>
      <c r="J26" s="4"/>
      <c r="M26" s="2">
        <v>-41.03</v>
      </c>
      <c r="N26" s="2">
        <v>-47.697000000000003</v>
      </c>
      <c r="O26" s="2">
        <v>-39.198999999999998</v>
      </c>
      <c r="P26" s="2">
        <f>SUM(G26:J26)</f>
        <v>-48.305</v>
      </c>
    </row>
    <row r="27" spans="2:29" s="2" customFormat="1" x14ac:dyDescent="0.2">
      <c r="B27" s="2" t="s">
        <v>33</v>
      </c>
      <c r="C27" s="4">
        <f>+C25+C26</f>
        <v>-92.488</v>
      </c>
      <c r="D27" s="4">
        <f>+D25+D26</f>
        <v>-87.353000000000009</v>
      </c>
      <c r="E27" s="4">
        <f>+E25+E26</f>
        <v>-38.655999999999977</v>
      </c>
      <c r="F27" s="4"/>
      <c r="G27" s="4">
        <f>+G25+G26</f>
        <v>6.6859999999999999</v>
      </c>
      <c r="H27" s="4">
        <f>+H25+H26</f>
        <v>-7.6879999999999988</v>
      </c>
      <c r="I27" s="4">
        <f>+I25+I26</f>
        <v>35.474000000000004</v>
      </c>
      <c r="J27" s="4"/>
      <c r="M27" s="2">
        <f>+M25+M26</f>
        <v>-376.26599999999996</v>
      </c>
      <c r="N27" s="2">
        <f>+N25+N26</f>
        <v>-479.19799999999998</v>
      </c>
      <c r="O27" s="2">
        <f>+O25+O26</f>
        <v>-286.154</v>
      </c>
      <c r="P27" s="2">
        <f>SUM(G27:J27)</f>
        <v>34.472000000000008</v>
      </c>
    </row>
  </sheetData>
  <hyperlinks>
    <hyperlink ref="A1" location="Main!A1" display="Main" xr:uid="{AE1D1414-1BF8-4516-A7BD-4B61C92D13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2024-12-06T14:06:27Z</dcterms:created>
  <dcterms:modified xsi:type="dcterms:W3CDTF">2025-10-14T14:02:25Z</dcterms:modified>
</cp:coreProperties>
</file>