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58881AFF-86E0-4113-8945-144A184F88EB}" xr6:coauthVersionLast="47" xr6:coauthVersionMax="47" xr10:uidLastSave="{00000000-0000-0000-0000-000000000000}"/>
  <bookViews>
    <workbookView xWindow="4410" yWindow="3135" windowWidth="18075" windowHeight="16020" activeTab="1" xr2:uid="{BC838FB8-C4DC-486C-843A-A179C3ABB7C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D41" i="2"/>
  <c r="E41" i="2"/>
  <c r="F41" i="2"/>
  <c r="C42" i="2"/>
  <c r="D42" i="2"/>
  <c r="E42" i="2"/>
  <c r="F42" i="2"/>
  <c r="G52" i="2"/>
  <c r="H52" i="2"/>
  <c r="I52" i="2"/>
  <c r="J52" i="2"/>
  <c r="L6" i="1"/>
  <c r="L38" i="2"/>
  <c r="L54" i="2" s="1"/>
  <c r="M33" i="2"/>
  <c r="M36" i="2" s="1"/>
  <c r="Q33" i="2"/>
  <c r="Q36" i="2" s="1"/>
  <c r="Q44" i="2"/>
  <c r="M48" i="2"/>
  <c r="S48" i="2"/>
  <c r="N48" i="2"/>
  <c r="R41" i="2"/>
  <c r="N36" i="2"/>
  <c r="N38" i="2" s="1"/>
  <c r="N42" i="2" s="1"/>
  <c r="N33" i="2"/>
  <c r="R33" i="2"/>
  <c r="R36" i="2" s="1"/>
  <c r="S33" i="2"/>
  <c r="S36" i="2" s="1"/>
  <c r="S38" i="2" s="1"/>
  <c r="O33" i="2"/>
  <c r="O36" i="2" s="1"/>
  <c r="P33" i="2"/>
  <c r="P36" i="2" s="1"/>
  <c r="P38" i="2" s="1"/>
  <c r="T33" i="2"/>
  <c r="T36" i="2"/>
  <c r="T38" i="2" s="1"/>
  <c r="V40" i="2"/>
  <c r="U40" i="2"/>
  <c r="V39" i="2"/>
  <c r="U39" i="2"/>
  <c r="AB37" i="2"/>
  <c r="AA37" i="2"/>
  <c r="Z37" i="2"/>
  <c r="Y37" i="2"/>
  <c r="Z36" i="2"/>
  <c r="Y36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K54" i="2"/>
  <c r="J54" i="2"/>
  <c r="I54" i="2"/>
  <c r="H54" i="2"/>
  <c r="G54" i="2"/>
  <c r="L52" i="2"/>
  <c r="K52" i="2"/>
  <c r="S41" i="2"/>
  <c r="Q41" i="2"/>
  <c r="P41" i="2"/>
  <c r="O41" i="2"/>
  <c r="N41" i="2"/>
  <c r="M41" i="2"/>
  <c r="L41" i="2"/>
  <c r="K41" i="2"/>
  <c r="K42" i="2" s="1"/>
  <c r="J41" i="2"/>
  <c r="J42" i="2" s="1"/>
  <c r="I41" i="2"/>
  <c r="I42" i="2" s="1"/>
  <c r="H41" i="2"/>
  <c r="H42" i="2" s="1"/>
  <c r="G41" i="2"/>
  <c r="G42" i="2" s="1"/>
  <c r="T41" i="2"/>
  <c r="L4" i="1"/>
  <c r="L7" i="1" s="1"/>
  <c r="L42" i="2" l="1"/>
  <c r="O38" i="2"/>
  <c r="O52" i="2"/>
  <c r="M52" i="2"/>
  <c r="AA36" i="2"/>
  <c r="AA52" i="2" s="1"/>
  <c r="M38" i="2"/>
  <c r="S42" i="2"/>
  <c r="S54" i="2"/>
  <c r="R38" i="2"/>
  <c r="R42" i="2" s="1"/>
  <c r="R45" i="2" s="1"/>
  <c r="R47" i="2" s="1"/>
  <c r="R48" i="2" s="1"/>
  <c r="R52" i="2"/>
  <c r="V36" i="2"/>
  <c r="V38" i="2" s="1"/>
  <c r="V37" i="2" s="1"/>
  <c r="U36" i="2"/>
  <c r="U38" i="2" s="1"/>
  <c r="U37" i="2" s="1"/>
  <c r="Q38" i="2"/>
  <c r="Q42" i="2" s="1"/>
  <c r="Q45" i="2" s="1"/>
  <c r="Q47" i="2" s="1"/>
  <c r="Q48" i="2" s="1"/>
  <c r="N54" i="2"/>
  <c r="P54" i="2"/>
  <c r="Q52" i="2"/>
  <c r="N52" i="2"/>
  <c r="S52" i="2"/>
  <c r="Y38" i="2"/>
  <c r="Y54" i="2" s="1"/>
  <c r="T52" i="2"/>
  <c r="Z52" i="2"/>
  <c r="Z38" i="2"/>
  <c r="Z54" i="2" s="1"/>
  <c r="AA38" i="2"/>
  <c r="AA54" i="2" s="1"/>
  <c r="AB36" i="2"/>
  <c r="P52" i="2"/>
  <c r="AC36" i="2"/>
  <c r="T54" i="2"/>
  <c r="P42" i="2"/>
  <c r="P45" i="2" s="1"/>
  <c r="P47" i="2" s="1"/>
  <c r="P48" i="2" s="1"/>
  <c r="AC37" i="2" l="1"/>
  <c r="Q54" i="2"/>
  <c r="M42" i="2"/>
  <c r="M54" i="2"/>
  <c r="R54" i="2"/>
  <c r="O54" i="2"/>
  <c r="O42" i="2"/>
  <c r="AC52" i="2"/>
  <c r="T42" i="2"/>
  <c r="T45" i="2" s="1"/>
  <c r="T47" i="2" s="1"/>
  <c r="T48" i="2" s="1"/>
  <c r="AB38" i="2"/>
  <c r="AB54" i="2" s="1"/>
  <c r="AB52" i="2"/>
  <c r="AC38" i="2"/>
  <c r="AC54" i="2" s="1"/>
  <c r="U41" i="2" l="1"/>
  <c r="U42" i="2" s="1"/>
  <c r="U45" i="2" s="1"/>
  <c r="V41" i="2"/>
  <c r="V42" i="2" s="1"/>
  <c r="V45" i="2" s="1"/>
</calcChain>
</file>

<file path=xl/sharedStrings.xml><?xml version="1.0" encoding="utf-8"?>
<sst xmlns="http://schemas.openxmlformats.org/spreadsheetml/2006/main" count="91" uniqueCount="82">
  <si>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</si>
  <si>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</si>
  <si>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</si>
  <si>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</si>
  <si>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</si>
  <si>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</si>
  <si>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</si>
  <si>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</si>
  <si>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</si>
  <si>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</si>
  <si>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</si>
  <si>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</si>
  <si>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</si>
  <si>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</si>
  <si>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</si>
  <si>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</si>
  <si>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</si>
  <si>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</si>
  <si>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</si>
  <si>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</si>
  <si>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</si>
  <si>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</si>
  <si>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Q120</t>
  </si>
  <si>
    <t>Q220</t>
  </si>
  <si>
    <t>Q320</t>
  </si>
  <si>
    <t>Q420</t>
  </si>
  <si>
    <t>Q121</t>
  </si>
  <si>
    <t>Q221</t>
  </si>
  <si>
    <t>Q321</t>
  </si>
  <si>
    <t>Q421</t>
  </si>
  <si>
    <t>SG&amp;A</t>
  </si>
  <si>
    <t>R&amp;D</t>
  </si>
  <si>
    <t>Operating Income??</t>
  </si>
  <si>
    <t>Operating Expenses</t>
  </si>
  <si>
    <t>Operating Income</t>
  </si>
  <si>
    <t>Interest Expense</t>
  </si>
  <si>
    <t>Pretax Income</t>
  </si>
  <si>
    <t>Taxes</t>
  </si>
  <si>
    <t>Net Income</t>
  </si>
  <si>
    <t>Revenue Growth %</t>
  </si>
  <si>
    <t>Gross Margin %</t>
  </si>
  <si>
    <t>S/O</t>
  </si>
  <si>
    <t>EPS</t>
  </si>
  <si>
    <t xml:space="preserve">Dermavant acquisition: 175m, $75m on approval of Vtama, </t>
  </si>
  <si>
    <t>Established</t>
  </si>
  <si>
    <t>Other</t>
  </si>
  <si>
    <t>Nexplanon</t>
  </si>
  <si>
    <t>Name</t>
  </si>
  <si>
    <t>Mercilon</t>
  </si>
  <si>
    <t>Follistim</t>
  </si>
  <si>
    <t>NuvaRing</t>
  </si>
  <si>
    <t>Hadlima</t>
  </si>
  <si>
    <t>Renflexis</t>
  </si>
  <si>
    <t>Emgality</t>
  </si>
  <si>
    <t>Rayvow</t>
  </si>
  <si>
    <t>Ganirelix</t>
  </si>
  <si>
    <t>Marvelon</t>
  </si>
  <si>
    <t>Jada</t>
  </si>
  <si>
    <t>Other Women's</t>
  </si>
  <si>
    <t>Ontruzant</t>
  </si>
  <si>
    <t>Brenzys</t>
  </si>
  <si>
    <t>Aybintio</t>
  </si>
  <si>
    <t>Atozet</t>
  </si>
  <si>
    <t>Zetia</t>
  </si>
  <si>
    <t>Vytorin</t>
  </si>
  <si>
    <t>Rosuzet</t>
  </si>
  <si>
    <t>Cozaar</t>
  </si>
  <si>
    <t>Nasonex</t>
  </si>
  <si>
    <t>Singulair</t>
  </si>
  <si>
    <t>Dulera</t>
  </si>
  <si>
    <t>Clarinex</t>
  </si>
  <si>
    <t>Respiratory</t>
  </si>
  <si>
    <t>Arcoxia</t>
  </si>
  <si>
    <t>Diprospan</t>
  </si>
  <si>
    <t>Fosamax</t>
  </si>
  <si>
    <t>Other Pain, Bone, Derm</t>
  </si>
  <si>
    <t>Emgality/Rayvow</t>
  </si>
  <si>
    <t>Proscar</t>
  </si>
  <si>
    <t>Propecia</t>
  </si>
  <si>
    <t>Other CV</t>
  </si>
  <si>
    <t>CEO: Kevin Ali</t>
  </si>
  <si>
    <t>Founded 2021, spin-off from Merck &amp; Co/MSD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</si>
</sst>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EB64EB6-7F18-4C5B-BCBD-354ACBA1AB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25066</xdr:colOff>
      <xdr:row>0</xdr:row>
      <xdr:rowOff>65171</xdr:rowOff>
    </xdr:from>
    <xdr:to>
      <xdr:col>20</xdr:col>
      <xdr:colOff>25066</xdr:colOff>
      <xdr:row>57</xdr:row>
      <xdr:rowOff>85224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C353DF6-5AFF-D9A5-595B-F17A51484A52}"/>
            </a:ext>
          </a:extLst>
        </xdr:cNvPr>
        <xdr:cNvCxnSpPr/>
      </xdr:nvCxnSpPr>
      <xdr:spPr>
        <a:xfrm>
          <a:off x="12578013" y="65171"/>
          <a:ext cx="0" cy="33888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37097</xdr:colOff>
      <xdr:row>0</xdr:row>
      <xdr:rowOff>47123</xdr:rowOff>
    </xdr:from>
    <xdr:to>
      <xdr:col>28</xdr:col>
      <xdr:colOff>37097</xdr:colOff>
      <xdr:row>57</xdr:row>
      <xdr:rowOff>67176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FFAB661-2BC3-4C66-9406-F664EB579151}"/>
            </a:ext>
          </a:extLst>
        </xdr:cNvPr>
        <xdr:cNvCxnSpPr/>
      </xdr:nvCxnSpPr>
      <xdr:spPr>
        <a:xfrm>
          <a:off x="17482886" y="47123"/>
          <a:ext cx="0" cy="45118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BA0B-4391-4CEB-A031-34D23FCB89C6}">
  <dimension ref="B2:M13"/>
  <sheetViews>
    <sheetView zoomScaleNormal="100" workbookViewId="0">
      <selection activeCell="O23" sqref="O23"/>
    </sheetView>
  </sheetViews>
  <sheetFormatPr defaultRowHeight="12.75" x14ac:dyDescent="0.2"/>
  <sheetData>
    <row r="2" spans="2:13" x14ac:dyDescent="0.2">
      <c r="B2" t="s">
        <v>47</v>
      </c>
      <c r="K2" t="s">
        <v>0</v>
      </c>
      <c r="L2" s="1">
        <v>9.49</v>
      </c>
    </row>
    <row r="3" spans="2:13" x14ac:dyDescent="0.2">
      <c r="B3" t="s">
        <v>46</v>
      </c>
      <c r="K3" t="s">
        <v>1</v>
      </c>
      <c r="L3" s="2">
        <v>257.473477</v>
      </c>
      <c r="M3" s="3" t="s">
        <v>6</v>
      </c>
    </row>
    <row r="4" spans="2:13" x14ac:dyDescent="0.2">
      <c r="B4" t="s">
        <v>48</v>
      </c>
      <c r="K4" t="s">
        <v>2</v>
      </c>
      <c r="L4" s="2">
        <f>+L2*L3</f>
        <v>2443.4232967299999</v>
      </c>
    </row>
    <row r="5" spans="2:13" x14ac:dyDescent="0.2">
      <c r="B5" t="s">
        <v>49</v>
      </c>
      <c r="K5" t="s">
        <v>3</v>
      </c>
      <c r="L5" s="2">
        <v>675</v>
      </c>
      <c r="M5" s="3" t="s">
        <v>6</v>
      </c>
    </row>
    <row r="6" spans="2:13" x14ac:dyDescent="0.2">
      <c r="B6" t="s">
        <v>50</v>
      </c>
      <c r="K6" t="s">
        <v>4</v>
      </c>
      <c r="L6" s="2">
        <f>8860+20</f>
        <v>8880</v>
      </c>
      <c r="M6" s="3" t="s">
        <v>6</v>
      </c>
    </row>
    <row r="7" spans="2:13" x14ac:dyDescent="0.2">
      <c r="B7" t="s">
        <v>51</v>
      </c>
      <c r="K7" t="s">
        <v>5</v>
      </c>
      <c r="L7" s="2">
        <f>+L4-L5+L6</f>
        <v>10648.423296729999</v>
      </c>
    </row>
    <row r="8" spans="2:13" x14ac:dyDescent="0.2">
      <c r="B8" t="s">
        <v>52</v>
      </c>
    </row>
    <row r="9" spans="2:13" x14ac:dyDescent="0.2">
      <c r="B9" t="s">
        <v>53</v>
      </c>
    </row>
    <row r="10" spans="2:13" x14ac:dyDescent="0.2">
      <c r="B10" t="s">
        <v>54</v>
      </c>
      <c r="K10" t="s">
        <v>81</v>
      </c>
    </row>
    <row r="11" spans="2:13" x14ac:dyDescent="0.2">
      <c r="K11" t="s">
        <v>80</v>
      </c>
    </row>
    <row r="13" spans="2:13" x14ac:dyDescent="0.2">
      <c r="K1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660-43BF-4EAE-B265-9DF691B06303}">
  <dimension ref="A1:AN54"/>
  <sheetViews>
    <sheetView tabSelected="1" zoomScaleNormal="100" workbookViewId="0">
      <pane xSplit="2" ySplit="2" topLeftCell="H24" activePane="bottomRight" state="frozen"/>
      <selection pane="topRight" activeCell="C1" sqref="C1"/>
      <selection pane="bottomLeft" activeCell="A3" sqref="A3"/>
      <selection pane="bottomRight" activeCell="S53" sqref="S53"/>
    </sheetView>
  </sheetViews>
  <sheetFormatPr defaultRowHeight="12.75" x14ac:dyDescent="0.2"/>
  <cols>
    <col min="1" max="1" width="5" bestFit="1" customWidth="1"/>
    <col min="2" max="2" width="18.140625" bestFit="1" customWidth="1"/>
    <col min="3" max="22" width="9.140625" style="3"/>
  </cols>
  <sheetData>
    <row r="1" spans="1:40" x14ac:dyDescent="0.2">
      <c r="A1" t="s">
        <v>7</v>
      </c>
    </row>
    <row r="2" spans="1:40" x14ac:dyDescent="0.2"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6</v>
      </c>
      <c r="U2" s="3" t="s">
        <v>18</v>
      </c>
      <c r="V2" s="3" t="s">
        <v>19</v>
      </c>
      <c r="Y2">
        <v>2020</v>
      </c>
      <c r="Z2">
        <f>+Y2+1</f>
        <v>2021</v>
      </c>
      <c r="AA2">
        <f t="shared" ref="AA2:AN2" si="0">+Z2+1</f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  <c r="AN2">
        <f t="shared" si="0"/>
        <v>2035</v>
      </c>
    </row>
    <row r="3" spans="1:40" x14ac:dyDescent="0.2">
      <c r="B3" t="s">
        <v>46</v>
      </c>
      <c r="M3" s="3">
        <v>229</v>
      </c>
      <c r="N3" s="3">
        <v>239</v>
      </c>
      <c r="O3" s="3">
        <v>165</v>
      </c>
      <c r="P3" s="3">
        <v>214</v>
      </c>
      <c r="Q3" s="3">
        <v>220</v>
      </c>
      <c r="R3" s="3">
        <v>231</v>
      </c>
      <c r="S3" s="3">
        <v>220</v>
      </c>
      <c r="T3" s="3">
        <v>242</v>
      </c>
    </row>
    <row r="4" spans="1:40" x14ac:dyDescent="0.2">
      <c r="B4" t="s">
        <v>49</v>
      </c>
      <c r="M4" s="3">
        <v>60</v>
      </c>
      <c r="N4" s="3">
        <v>50</v>
      </c>
      <c r="O4" s="3">
        <v>55</v>
      </c>
      <c r="P4" s="3">
        <v>70</v>
      </c>
      <c r="Q4" s="3">
        <v>54</v>
      </c>
      <c r="R4" s="3">
        <v>83</v>
      </c>
      <c r="S4" s="3">
        <v>46</v>
      </c>
      <c r="T4" s="3">
        <v>62</v>
      </c>
    </row>
    <row r="5" spans="1:40" x14ac:dyDescent="0.2">
      <c r="B5" t="s">
        <v>50</v>
      </c>
      <c r="M5" s="3">
        <v>50</v>
      </c>
      <c r="N5" s="3">
        <v>40</v>
      </c>
      <c r="O5" s="3">
        <v>49</v>
      </c>
      <c r="P5" s="3">
        <v>46</v>
      </c>
      <c r="Q5" s="3">
        <v>37</v>
      </c>
      <c r="R5" s="3">
        <v>35</v>
      </c>
      <c r="S5" s="3">
        <v>38</v>
      </c>
      <c r="T5" s="3">
        <v>29</v>
      </c>
    </row>
    <row r="6" spans="1:40" x14ac:dyDescent="0.2">
      <c r="B6" t="s">
        <v>55</v>
      </c>
      <c r="M6" s="3">
        <v>36</v>
      </c>
      <c r="N6" s="3">
        <v>25</v>
      </c>
      <c r="O6" s="3">
        <v>30</v>
      </c>
      <c r="P6" s="3">
        <v>34</v>
      </c>
      <c r="Q6" s="3">
        <v>25</v>
      </c>
      <c r="R6" s="3">
        <v>22</v>
      </c>
      <c r="S6" s="3">
        <v>29</v>
      </c>
      <c r="T6" s="3">
        <v>27</v>
      </c>
    </row>
    <row r="7" spans="1:40" x14ac:dyDescent="0.2">
      <c r="B7" t="s">
        <v>56</v>
      </c>
      <c r="M7" s="3">
        <v>31</v>
      </c>
      <c r="N7" s="3">
        <v>24</v>
      </c>
      <c r="O7" s="3">
        <v>37</v>
      </c>
      <c r="P7" s="3">
        <v>29</v>
      </c>
      <c r="Q7" s="3">
        <v>30</v>
      </c>
      <c r="R7" s="3">
        <v>37</v>
      </c>
      <c r="S7" s="3">
        <v>33</v>
      </c>
      <c r="T7" s="3">
        <v>41</v>
      </c>
    </row>
    <row r="8" spans="1:40" x14ac:dyDescent="0.2">
      <c r="B8" t="s">
        <v>57</v>
      </c>
      <c r="M8" s="3">
        <v>5</v>
      </c>
      <c r="N8" s="3">
        <v>8</v>
      </c>
      <c r="O8" s="3">
        <v>7</v>
      </c>
      <c r="P8" s="4">
        <v>11</v>
      </c>
      <c r="Q8" s="3">
        <v>13</v>
      </c>
      <c r="R8" s="3">
        <v>13</v>
      </c>
      <c r="S8" s="3">
        <v>13</v>
      </c>
      <c r="T8" s="3">
        <v>14</v>
      </c>
    </row>
    <row r="9" spans="1:40" x14ac:dyDescent="0.2">
      <c r="B9" t="s">
        <v>58</v>
      </c>
      <c r="M9" s="3">
        <v>42</v>
      </c>
      <c r="N9" s="3">
        <v>46</v>
      </c>
      <c r="O9" s="3">
        <v>38</v>
      </c>
      <c r="P9" s="4">
        <v>35</v>
      </c>
      <c r="Q9" s="3">
        <v>39</v>
      </c>
      <c r="R9" s="3">
        <v>44</v>
      </c>
      <c r="S9" s="3">
        <v>43</v>
      </c>
      <c r="T9" s="3">
        <v>34</v>
      </c>
    </row>
    <row r="10" spans="1:40" x14ac:dyDescent="0.2">
      <c r="B10" t="s">
        <v>52</v>
      </c>
      <c r="M10" s="3">
        <v>60</v>
      </c>
      <c r="N10" s="3">
        <v>60</v>
      </c>
      <c r="O10" s="3">
        <v>62</v>
      </c>
      <c r="P10" s="4">
        <v>70</v>
      </c>
      <c r="Q10" s="3">
        <v>69</v>
      </c>
      <c r="R10" s="3">
        <v>77</v>
      </c>
      <c r="S10" s="3">
        <v>69</v>
      </c>
      <c r="T10" s="3">
        <v>69</v>
      </c>
    </row>
    <row r="11" spans="1:40" x14ac:dyDescent="0.2">
      <c r="B11" t="s">
        <v>59</v>
      </c>
      <c r="M11" s="3">
        <v>29</v>
      </c>
      <c r="N11" s="3">
        <v>35</v>
      </c>
      <c r="O11" s="3">
        <v>21</v>
      </c>
      <c r="P11" s="4">
        <v>33</v>
      </c>
      <c r="Q11" s="3">
        <v>40</v>
      </c>
      <c r="R11" s="3">
        <v>62</v>
      </c>
      <c r="S11" s="3">
        <v>39</v>
      </c>
      <c r="T11" s="3">
        <v>48</v>
      </c>
    </row>
    <row r="12" spans="1:40" x14ac:dyDescent="0.2">
      <c r="B12" t="s">
        <v>60</v>
      </c>
      <c r="M12" s="3">
        <v>24</v>
      </c>
      <c r="N12" s="3">
        <v>23</v>
      </c>
      <c r="O12" s="3">
        <v>19</v>
      </c>
      <c r="P12" s="4">
        <v>13</v>
      </c>
      <c r="Q12" s="3">
        <v>13</v>
      </c>
      <c r="R12" s="3">
        <v>28</v>
      </c>
      <c r="S12" s="3">
        <v>24</v>
      </c>
      <c r="T12" s="3">
        <v>12</v>
      </c>
    </row>
    <row r="13" spans="1:40" x14ac:dyDescent="0.2">
      <c r="B13" t="s">
        <v>61</v>
      </c>
      <c r="M13" s="3">
        <v>10</v>
      </c>
      <c r="N13" s="3">
        <v>10</v>
      </c>
      <c r="O13" s="3">
        <v>10</v>
      </c>
      <c r="P13" s="4">
        <v>12</v>
      </c>
      <c r="Q13" s="3">
        <v>12</v>
      </c>
      <c r="R13" s="3">
        <v>9</v>
      </c>
      <c r="S13" s="3">
        <v>8</v>
      </c>
      <c r="T13" s="3">
        <v>7</v>
      </c>
    </row>
    <row r="14" spans="1:40" x14ac:dyDescent="0.2">
      <c r="B14" t="s">
        <v>51</v>
      </c>
      <c r="M14" s="3">
        <v>6</v>
      </c>
      <c r="N14" s="3">
        <v>6</v>
      </c>
      <c r="O14" s="3">
        <v>5</v>
      </c>
      <c r="P14" s="4">
        <v>7</v>
      </c>
      <c r="Q14" s="3">
        <v>8</v>
      </c>
      <c r="R14" s="3">
        <v>23</v>
      </c>
      <c r="S14" s="3">
        <v>30</v>
      </c>
      <c r="T14" s="3">
        <v>28</v>
      </c>
    </row>
    <row r="15" spans="1:40" x14ac:dyDescent="0.2">
      <c r="B15" t="s">
        <v>62</v>
      </c>
      <c r="M15" s="3">
        <v>109</v>
      </c>
      <c r="N15" s="3">
        <v>107</v>
      </c>
      <c r="O15" s="3">
        <v>128</v>
      </c>
      <c r="P15" s="4">
        <v>143</v>
      </c>
      <c r="Q15" s="3">
        <v>126</v>
      </c>
      <c r="R15" s="3">
        <v>122</v>
      </c>
      <c r="S15" s="3">
        <v>132</v>
      </c>
      <c r="T15" s="3">
        <v>140</v>
      </c>
    </row>
    <row r="16" spans="1:40" x14ac:dyDescent="0.2">
      <c r="B16" t="s">
        <v>63</v>
      </c>
      <c r="M16" s="3">
        <v>87</v>
      </c>
      <c r="N16" s="3">
        <v>71</v>
      </c>
      <c r="O16" s="3">
        <v>89</v>
      </c>
      <c r="P16" s="4">
        <v>95</v>
      </c>
      <c r="Q16" s="3">
        <v>66</v>
      </c>
      <c r="R16" s="3">
        <v>67</v>
      </c>
      <c r="S16" s="3">
        <v>84</v>
      </c>
      <c r="T16" s="3">
        <v>75</v>
      </c>
    </row>
    <row r="17" spans="2:20" x14ac:dyDescent="0.2">
      <c r="B17" t="s">
        <v>64</v>
      </c>
      <c r="M17" s="3">
        <v>31</v>
      </c>
      <c r="N17" s="3">
        <v>26</v>
      </c>
      <c r="O17" s="3">
        <v>29</v>
      </c>
      <c r="P17" s="4">
        <v>38</v>
      </c>
      <c r="Q17" s="3">
        <v>33</v>
      </c>
      <c r="R17" s="3">
        <v>29</v>
      </c>
      <c r="S17" s="3">
        <v>28</v>
      </c>
      <c r="T17" s="3">
        <v>28</v>
      </c>
    </row>
    <row r="18" spans="2:20" x14ac:dyDescent="0.2">
      <c r="B18" t="s">
        <v>66</v>
      </c>
      <c r="M18" s="3">
        <v>70</v>
      </c>
      <c r="N18" s="3">
        <v>68</v>
      </c>
      <c r="O18" s="3">
        <v>85</v>
      </c>
      <c r="P18" s="4">
        <v>71</v>
      </c>
      <c r="Q18" s="3">
        <v>68</v>
      </c>
      <c r="R18" s="3">
        <v>57</v>
      </c>
      <c r="S18" s="3">
        <v>67</v>
      </c>
      <c r="T18" s="3">
        <v>60</v>
      </c>
    </row>
    <row r="19" spans="2:20" x14ac:dyDescent="0.2">
      <c r="B19" t="s">
        <v>65</v>
      </c>
      <c r="M19" s="3">
        <v>17</v>
      </c>
      <c r="N19" s="3">
        <v>16</v>
      </c>
      <c r="O19" s="3">
        <v>18</v>
      </c>
      <c r="P19" s="4">
        <v>17</v>
      </c>
      <c r="Q19" s="3">
        <v>17</v>
      </c>
      <c r="R19" s="3">
        <v>18</v>
      </c>
      <c r="S19" s="3">
        <v>16</v>
      </c>
      <c r="T19" s="3">
        <v>9</v>
      </c>
    </row>
    <row r="20" spans="2:20" x14ac:dyDescent="0.2">
      <c r="B20" t="s">
        <v>79</v>
      </c>
      <c r="M20" s="3">
        <v>35</v>
      </c>
      <c r="N20" s="3">
        <v>40</v>
      </c>
      <c r="O20" s="3">
        <v>35</v>
      </c>
      <c r="P20" s="4">
        <v>36</v>
      </c>
      <c r="Q20" s="3">
        <v>44</v>
      </c>
      <c r="R20" s="3">
        <v>29</v>
      </c>
      <c r="S20" s="3">
        <v>38</v>
      </c>
      <c r="T20" s="3">
        <v>32</v>
      </c>
    </row>
    <row r="21" spans="2:20" x14ac:dyDescent="0.2">
      <c r="B21" t="s">
        <v>68</v>
      </c>
      <c r="M21" s="3">
        <v>94</v>
      </c>
      <c r="N21" s="3">
        <v>95</v>
      </c>
      <c r="O21" s="3">
        <v>120</v>
      </c>
      <c r="P21" s="4">
        <v>80</v>
      </c>
      <c r="Q21" s="3">
        <v>91</v>
      </c>
      <c r="R21" s="3">
        <v>114</v>
      </c>
      <c r="S21" s="3">
        <v>98</v>
      </c>
      <c r="T21" s="3">
        <v>93</v>
      </c>
    </row>
    <row r="22" spans="2:20" x14ac:dyDescent="0.2">
      <c r="B22" t="s">
        <v>67</v>
      </c>
      <c r="M22" s="3">
        <v>49</v>
      </c>
      <c r="N22" s="3">
        <v>56</v>
      </c>
      <c r="O22" s="3">
        <v>71</v>
      </c>
      <c r="P22" s="4">
        <v>66</v>
      </c>
      <c r="Q22" s="3">
        <v>55</v>
      </c>
      <c r="R22" s="3">
        <v>65</v>
      </c>
      <c r="S22" s="3">
        <v>77</v>
      </c>
      <c r="T22" s="3">
        <v>60</v>
      </c>
    </row>
    <row r="23" spans="2:20" x14ac:dyDescent="0.2">
      <c r="B23" t="s">
        <v>69</v>
      </c>
      <c r="M23" s="3">
        <v>40</v>
      </c>
      <c r="N23" s="3">
        <v>52</v>
      </c>
      <c r="O23" s="3">
        <v>46</v>
      </c>
      <c r="P23" s="4">
        <v>48</v>
      </c>
      <c r="Q23" s="3">
        <v>49</v>
      </c>
      <c r="R23" s="3">
        <v>50</v>
      </c>
      <c r="S23" s="3">
        <v>56</v>
      </c>
      <c r="T23" s="3">
        <v>47</v>
      </c>
    </row>
    <row r="24" spans="2:20" x14ac:dyDescent="0.2">
      <c r="B24" t="s">
        <v>70</v>
      </c>
      <c r="M24" s="3">
        <v>26</v>
      </c>
      <c r="N24" s="3">
        <v>27</v>
      </c>
      <c r="O24" s="3">
        <v>39</v>
      </c>
      <c r="P24" s="4">
        <v>39</v>
      </c>
      <c r="Q24" s="3">
        <v>28</v>
      </c>
      <c r="R24" s="3">
        <v>30</v>
      </c>
      <c r="S24" s="3">
        <v>37</v>
      </c>
      <c r="T24" s="3">
        <v>35</v>
      </c>
    </row>
    <row r="25" spans="2:20" x14ac:dyDescent="0.2">
      <c r="B25" t="s">
        <v>71</v>
      </c>
      <c r="M25" s="3">
        <v>21</v>
      </c>
      <c r="N25" s="3">
        <v>17</v>
      </c>
      <c r="O25" s="3">
        <v>15</v>
      </c>
      <c r="P25" s="4">
        <v>17</v>
      </c>
      <c r="Q25" s="3">
        <v>25</v>
      </c>
      <c r="R25" s="3">
        <v>15</v>
      </c>
      <c r="S25" s="3">
        <v>9</v>
      </c>
      <c r="T25" s="3">
        <v>13</v>
      </c>
    </row>
    <row r="26" spans="2:20" x14ac:dyDescent="0.2">
      <c r="B26" t="s">
        <v>72</v>
      </c>
      <c r="M26" s="3">
        <v>64</v>
      </c>
      <c r="N26" s="3">
        <v>56</v>
      </c>
      <c r="O26" s="3">
        <v>71</v>
      </c>
      <c r="P26" s="4">
        <v>72</v>
      </c>
      <c r="Q26" s="3">
        <v>64</v>
      </c>
      <c r="R26" s="3">
        <v>51</v>
      </c>
      <c r="S26" s="3">
        <v>75</v>
      </c>
      <c r="T26" s="3">
        <v>68</v>
      </c>
    </row>
    <row r="27" spans="2:20" x14ac:dyDescent="0.2">
      <c r="B27" t="s">
        <v>74</v>
      </c>
      <c r="M27" s="3">
        <v>36</v>
      </c>
      <c r="N27" s="3">
        <v>36</v>
      </c>
      <c r="O27" s="3">
        <v>38</v>
      </c>
      <c r="P27" s="4">
        <v>44</v>
      </c>
      <c r="Q27" s="3">
        <v>41</v>
      </c>
      <c r="R27" s="3">
        <v>36</v>
      </c>
      <c r="S27" s="3">
        <v>40</v>
      </c>
      <c r="T27" s="3">
        <v>35</v>
      </c>
    </row>
    <row r="28" spans="2:20" x14ac:dyDescent="0.2">
      <c r="B28" t="s">
        <v>73</v>
      </c>
      <c r="M28" s="3">
        <v>28</v>
      </c>
      <c r="N28" s="3">
        <v>31</v>
      </c>
      <c r="O28" s="3">
        <v>14</v>
      </c>
      <c r="P28" s="4">
        <v>12</v>
      </c>
      <c r="Q28" s="3">
        <v>31</v>
      </c>
      <c r="R28" s="3">
        <v>33</v>
      </c>
      <c r="S28" s="3">
        <v>29</v>
      </c>
      <c r="T28" s="3">
        <v>37</v>
      </c>
    </row>
    <row r="29" spans="2:20" x14ac:dyDescent="0.2">
      <c r="B29" t="s">
        <v>75</v>
      </c>
      <c r="M29" s="3">
        <v>65</v>
      </c>
      <c r="N29" s="3">
        <v>62</v>
      </c>
      <c r="O29" s="3">
        <v>63</v>
      </c>
      <c r="P29" s="4">
        <v>71</v>
      </c>
      <c r="Q29" s="3">
        <v>74</v>
      </c>
      <c r="R29" s="3">
        <v>67</v>
      </c>
      <c r="S29" s="3">
        <v>72</v>
      </c>
      <c r="T29" s="3">
        <v>78</v>
      </c>
    </row>
    <row r="30" spans="2:20" x14ac:dyDescent="0.2">
      <c r="B30" t="s">
        <v>76</v>
      </c>
      <c r="M30" s="3">
        <v>0</v>
      </c>
      <c r="N30" s="3">
        <v>0</v>
      </c>
      <c r="O30" s="3">
        <v>0</v>
      </c>
      <c r="P30" s="4">
        <v>0</v>
      </c>
      <c r="Q30" s="3">
        <v>0</v>
      </c>
      <c r="R30" s="3">
        <v>0</v>
      </c>
      <c r="S30" s="3">
        <v>0</v>
      </c>
      <c r="T30" s="3">
        <v>30</v>
      </c>
    </row>
    <row r="31" spans="2:20" x14ac:dyDescent="0.2">
      <c r="B31" t="s">
        <v>77</v>
      </c>
      <c r="M31" s="3">
        <v>27</v>
      </c>
      <c r="N31" s="3">
        <v>24</v>
      </c>
      <c r="O31" s="3">
        <v>27</v>
      </c>
      <c r="P31" s="4">
        <v>25</v>
      </c>
      <c r="Q31" s="3">
        <v>25</v>
      </c>
      <c r="R31" s="3">
        <v>20</v>
      </c>
      <c r="S31" s="3">
        <v>26</v>
      </c>
      <c r="T31" s="3">
        <v>23</v>
      </c>
    </row>
    <row r="32" spans="2:20" x14ac:dyDescent="0.2">
      <c r="B32" t="s">
        <v>78</v>
      </c>
      <c r="M32" s="3">
        <v>30</v>
      </c>
      <c r="N32" s="3">
        <v>30</v>
      </c>
      <c r="O32" s="3">
        <v>33</v>
      </c>
      <c r="P32" s="4">
        <v>36</v>
      </c>
      <c r="Q32" s="3">
        <v>22</v>
      </c>
      <c r="R32" s="3">
        <v>33</v>
      </c>
      <c r="S32" s="3">
        <v>23</v>
      </c>
      <c r="T32" s="3">
        <v>28</v>
      </c>
    </row>
    <row r="33" spans="2:29" x14ac:dyDescent="0.2">
      <c r="B33" t="s">
        <v>45</v>
      </c>
      <c r="M33" s="3">
        <f>87+39</f>
        <v>126</v>
      </c>
      <c r="N33" s="3">
        <f>75+30</f>
        <v>105</v>
      </c>
      <c r="O33" s="3">
        <f>80+39</f>
        <v>119</v>
      </c>
      <c r="P33" s="4">
        <f>84+40</f>
        <v>124</v>
      </c>
      <c r="Q33" s="3">
        <f>76+24</f>
        <v>100</v>
      </c>
      <c r="R33" s="3">
        <f>79+19</f>
        <v>98</v>
      </c>
      <c r="S33" s="3">
        <f>94+29</f>
        <v>123</v>
      </c>
      <c r="T33" s="3">
        <f>72+31</f>
        <v>103</v>
      </c>
    </row>
    <row r="34" spans="2:29" x14ac:dyDescent="0.2">
      <c r="B34" t="s">
        <v>44</v>
      </c>
    </row>
    <row r="35" spans="2:29" x14ac:dyDescent="0.2">
      <c r="B35" t="s">
        <v>45</v>
      </c>
    </row>
    <row r="36" spans="2:29" s="7" customFormat="1" x14ac:dyDescent="0.2">
      <c r="B36" s="7" t="s">
        <v>8</v>
      </c>
      <c r="C36" s="8">
        <v>1780</v>
      </c>
      <c r="D36" s="8">
        <v>1526</v>
      </c>
      <c r="E36" s="8">
        <v>1613</v>
      </c>
      <c r="F36" s="8">
        <v>1613</v>
      </c>
      <c r="G36" s="8">
        <v>1506</v>
      </c>
      <c r="H36" s="8">
        <v>1595</v>
      </c>
      <c r="I36" s="8">
        <v>1600</v>
      </c>
      <c r="J36" s="8">
        <v>1603</v>
      </c>
      <c r="K36" s="8">
        <v>1567</v>
      </c>
      <c r="L36" s="8">
        <v>1585</v>
      </c>
      <c r="M36" s="8">
        <f t="shared" ref="M36:T36" si="1">SUM(M3:M35)</f>
        <v>1537</v>
      </c>
      <c r="N36" s="8">
        <f t="shared" si="1"/>
        <v>1485</v>
      </c>
      <c r="O36" s="8">
        <f t="shared" si="1"/>
        <v>1538</v>
      </c>
      <c r="P36" s="8">
        <f t="shared" si="1"/>
        <v>1608</v>
      </c>
      <c r="Q36" s="8">
        <f t="shared" si="1"/>
        <v>1519</v>
      </c>
      <c r="R36" s="8">
        <f t="shared" si="1"/>
        <v>1598</v>
      </c>
      <c r="S36" s="8">
        <f t="shared" si="1"/>
        <v>1622</v>
      </c>
      <c r="T36" s="8">
        <f t="shared" si="1"/>
        <v>1607</v>
      </c>
      <c r="U36" s="8">
        <f>+Q36</f>
        <v>1519</v>
      </c>
      <c r="V36" s="8">
        <f>+R36</f>
        <v>1598</v>
      </c>
      <c r="Y36" s="7">
        <f>SUM(C36:F36)</f>
        <v>6532</v>
      </c>
      <c r="Z36" s="7">
        <f>SUM(G36:J36)</f>
        <v>6304</v>
      </c>
      <c r="AA36" s="7">
        <f>SUM(K36:N36)</f>
        <v>6174</v>
      </c>
      <c r="AB36" s="7">
        <f>SUM(O36:R36)</f>
        <v>6263</v>
      </c>
      <c r="AC36" s="7">
        <f>SUM(S36:V36)</f>
        <v>6346</v>
      </c>
    </row>
    <row r="37" spans="2:29" s="2" customFormat="1" x14ac:dyDescent="0.2">
      <c r="B37" s="2" t="s">
        <v>20</v>
      </c>
      <c r="C37" s="4">
        <v>538</v>
      </c>
      <c r="D37" s="4">
        <v>460</v>
      </c>
      <c r="E37" s="4">
        <v>535</v>
      </c>
      <c r="F37" s="4">
        <v>586</v>
      </c>
      <c r="G37" s="4">
        <v>591</v>
      </c>
      <c r="H37" s="4">
        <v>583</v>
      </c>
      <c r="I37" s="4">
        <v>609</v>
      </c>
      <c r="J37" s="4">
        <v>599</v>
      </c>
      <c r="K37" s="4">
        <v>565</v>
      </c>
      <c r="L37" s="4">
        <v>588</v>
      </c>
      <c r="M37" s="4">
        <v>551</v>
      </c>
      <c r="N37" s="4">
        <v>590</v>
      </c>
      <c r="O37" s="4">
        <v>580</v>
      </c>
      <c r="P37" s="4">
        <v>640</v>
      </c>
      <c r="Q37" s="4">
        <v>612</v>
      </c>
      <c r="R37" s="4">
        <v>634</v>
      </c>
      <c r="S37" s="4">
        <v>665</v>
      </c>
      <c r="T37" s="4">
        <v>668</v>
      </c>
      <c r="U37" s="4">
        <f>+U36-U38</f>
        <v>637.98</v>
      </c>
      <c r="V37" s="4">
        <f>+V36-V38</f>
        <v>671.16000000000008</v>
      </c>
      <c r="Y37" s="2">
        <f>SUM(C37:F37)</f>
        <v>2119</v>
      </c>
      <c r="Z37" s="2">
        <f>SUM(G37:J37)</f>
        <v>2382</v>
      </c>
      <c r="AA37" s="2">
        <f>SUM(K37:N37)</f>
        <v>2294</v>
      </c>
      <c r="AB37" s="2">
        <f>SUM(O37:R37)</f>
        <v>2466</v>
      </c>
      <c r="AC37" s="2">
        <f>SUM(S37:V37)</f>
        <v>2642.1400000000003</v>
      </c>
    </row>
    <row r="38" spans="2:29" s="2" customFormat="1" x14ac:dyDescent="0.2">
      <c r="B38" s="2" t="s">
        <v>21</v>
      </c>
      <c r="C38" s="4">
        <v>1242</v>
      </c>
      <c r="D38" s="4">
        <v>1066</v>
      </c>
      <c r="E38" s="4">
        <v>1078</v>
      </c>
      <c r="F38" s="4">
        <v>1027</v>
      </c>
      <c r="G38" s="4">
        <v>915</v>
      </c>
      <c r="H38" s="4">
        <v>1012</v>
      </c>
      <c r="I38" s="4">
        <v>991</v>
      </c>
      <c r="J38" s="4">
        <v>1004</v>
      </c>
      <c r="K38" s="4">
        <v>1002</v>
      </c>
      <c r="L38" s="4">
        <f t="shared" ref="L38:Q38" si="2">+L36-L37</f>
        <v>997</v>
      </c>
      <c r="M38" s="4">
        <f t="shared" si="2"/>
        <v>986</v>
      </c>
      <c r="N38" s="4">
        <f t="shared" si="2"/>
        <v>895</v>
      </c>
      <c r="O38" s="4">
        <f t="shared" si="2"/>
        <v>958</v>
      </c>
      <c r="P38" s="4">
        <f t="shared" si="2"/>
        <v>968</v>
      </c>
      <c r="Q38" s="4">
        <f t="shared" si="2"/>
        <v>907</v>
      </c>
      <c r="R38" s="4">
        <f t="shared" ref="R38:T38" si="3">+R36-R37</f>
        <v>964</v>
      </c>
      <c r="S38" s="4">
        <f t="shared" si="3"/>
        <v>957</v>
      </c>
      <c r="T38" s="4">
        <f t="shared" si="3"/>
        <v>939</v>
      </c>
      <c r="U38" s="4">
        <f>+U36*0.58</f>
        <v>881.02</v>
      </c>
      <c r="V38" s="4">
        <f>+V36*0.58</f>
        <v>926.83999999999992</v>
      </c>
      <c r="Y38" s="2">
        <f>+Y36-Y37</f>
        <v>4413</v>
      </c>
      <c r="Z38" s="2">
        <f t="shared" ref="Z38:AC38" si="4">+Z36-Z37</f>
        <v>3922</v>
      </c>
      <c r="AA38" s="2">
        <f t="shared" si="4"/>
        <v>3880</v>
      </c>
      <c r="AB38" s="2">
        <f t="shared" si="4"/>
        <v>3797</v>
      </c>
      <c r="AC38" s="2">
        <f t="shared" si="4"/>
        <v>3703.8599999999997</v>
      </c>
    </row>
    <row r="39" spans="2:29" s="2" customFormat="1" x14ac:dyDescent="0.2">
      <c r="B39" s="2" t="s">
        <v>30</v>
      </c>
      <c r="C39" s="4">
        <v>317</v>
      </c>
      <c r="D39" s="4">
        <v>284</v>
      </c>
      <c r="E39" s="4">
        <v>321</v>
      </c>
      <c r="F39" s="4">
        <v>434</v>
      </c>
      <c r="G39" s="4">
        <v>382</v>
      </c>
      <c r="H39" s="4">
        <v>416</v>
      </c>
      <c r="I39" s="4">
        <v>388</v>
      </c>
      <c r="J39" s="4">
        <v>482</v>
      </c>
      <c r="K39" s="4">
        <v>371</v>
      </c>
      <c r="L39" s="4">
        <v>423</v>
      </c>
      <c r="M39" s="4">
        <v>440</v>
      </c>
      <c r="N39" s="4">
        <v>470</v>
      </c>
      <c r="O39" s="4">
        <v>435</v>
      </c>
      <c r="P39" s="4">
        <v>451</v>
      </c>
      <c r="Q39" s="4">
        <v>538</v>
      </c>
      <c r="R39" s="4">
        <v>401</v>
      </c>
      <c r="S39" s="4">
        <v>431</v>
      </c>
      <c r="T39" s="4">
        <v>437</v>
      </c>
      <c r="U39" s="4">
        <f>+Q39</f>
        <v>538</v>
      </c>
      <c r="V39" s="4">
        <f>+R39</f>
        <v>401</v>
      </c>
    </row>
    <row r="40" spans="2:29" s="2" customFormat="1" x14ac:dyDescent="0.2">
      <c r="B40" s="2" t="s">
        <v>31</v>
      </c>
      <c r="C40" s="4">
        <v>45</v>
      </c>
      <c r="D40" s="4">
        <v>51</v>
      </c>
      <c r="E40" s="4">
        <v>54</v>
      </c>
      <c r="F40" s="4">
        <v>60</v>
      </c>
      <c r="G40" s="4">
        <v>67</v>
      </c>
      <c r="H40" s="4">
        <v>76</v>
      </c>
      <c r="I40" s="4">
        <v>111</v>
      </c>
      <c r="J40" s="4">
        <v>189</v>
      </c>
      <c r="K40" s="4">
        <v>96</v>
      </c>
      <c r="L40" s="4">
        <v>203</v>
      </c>
      <c r="M40" s="4">
        <v>137</v>
      </c>
      <c r="N40" s="4">
        <v>142</v>
      </c>
      <c r="O40" s="4">
        <v>137</v>
      </c>
      <c r="P40" s="4">
        <v>128</v>
      </c>
      <c r="Q40" s="4">
        <v>137</v>
      </c>
      <c r="R40" s="4">
        <v>127</v>
      </c>
      <c r="S40" s="4">
        <v>127</v>
      </c>
      <c r="T40" s="4">
        <v>116</v>
      </c>
      <c r="U40" s="4">
        <f>+Q40</f>
        <v>137</v>
      </c>
      <c r="V40" s="4">
        <f>+R40</f>
        <v>127</v>
      </c>
    </row>
    <row r="41" spans="2:29" s="2" customFormat="1" x14ac:dyDescent="0.2">
      <c r="B41" s="2" t="s">
        <v>33</v>
      </c>
      <c r="C41" s="4">
        <f t="shared" ref="C41:S41" si="5">+C39+C40</f>
        <v>362</v>
      </c>
      <c r="D41" s="4">
        <f t="shared" si="5"/>
        <v>335</v>
      </c>
      <c r="E41" s="4">
        <f t="shared" si="5"/>
        <v>375</v>
      </c>
      <c r="F41" s="4">
        <f t="shared" si="5"/>
        <v>494</v>
      </c>
      <c r="G41" s="4">
        <f t="shared" si="5"/>
        <v>449</v>
      </c>
      <c r="H41" s="4">
        <f t="shared" si="5"/>
        <v>492</v>
      </c>
      <c r="I41" s="4">
        <f t="shared" si="5"/>
        <v>499</v>
      </c>
      <c r="J41" s="4">
        <f t="shared" si="5"/>
        <v>671</v>
      </c>
      <c r="K41" s="4">
        <f t="shared" si="5"/>
        <v>467</v>
      </c>
      <c r="L41" s="4">
        <f t="shared" si="5"/>
        <v>626</v>
      </c>
      <c r="M41" s="4">
        <f t="shared" si="5"/>
        <v>577</v>
      </c>
      <c r="N41" s="4">
        <f t="shared" si="5"/>
        <v>612</v>
      </c>
      <c r="O41" s="4">
        <f t="shared" si="5"/>
        <v>572</v>
      </c>
      <c r="P41" s="4">
        <f t="shared" si="5"/>
        <v>579</v>
      </c>
      <c r="Q41" s="4">
        <f t="shared" si="5"/>
        <v>675</v>
      </c>
      <c r="R41" s="4">
        <f>+R39+R40</f>
        <v>528</v>
      </c>
      <c r="S41" s="4">
        <f t="shared" si="5"/>
        <v>558</v>
      </c>
      <c r="T41" s="4">
        <f>+T39+T40</f>
        <v>553</v>
      </c>
      <c r="U41" s="4">
        <f>+U39+U40</f>
        <v>675</v>
      </c>
      <c r="V41" s="4">
        <f>+V39+V40</f>
        <v>528</v>
      </c>
    </row>
    <row r="42" spans="2:29" s="2" customFormat="1" x14ac:dyDescent="0.2">
      <c r="B42" s="2" t="s">
        <v>34</v>
      </c>
      <c r="C42" s="4">
        <f t="shared" ref="C42" si="6">+C38-C41</f>
        <v>880</v>
      </c>
      <c r="D42" s="4">
        <f t="shared" ref="D42" si="7">+D38-D41</f>
        <v>731</v>
      </c>
      <c r="E42" s="4">
        <f t="shared" ref="E42:H42" si="8">+E38-E41</f>
        <v>703</v>
      </c>
      <c r="F42" s="4">
        <f t="shared" si="8"/>
        <v>533</v>
      </c>
      <c r="G42" s="4">
        <f t="shared" si="8"/>
        <v>466</v>
      </c>
      <c r="H42" s="4">
        <f t="shared" si="8"/>
        <v>520</v>
      </c>
      <c r="I42" s="4">
        <f t="shared" ref="I42:V42" si="9">+I38-I41</f>
        <v>492</v>
      </c>
      <c r="J42" s="4">
        <f t="shared" si="9"/>
        <v>333</v>
      </c>
      <c r="K42" s="4">
        <f t="shared" si="9"/>
        <v>535</v>
      </c>
      <c r="L42" s="4">
        <f t="shared" si="9"/>
        <v>371</v>
      </c>
      <c r="M42" s="4">
        <f t="shared" si="9"/>
        <v>409</v>
      </c>
      <c r="N42" s="4">
        <f t="shared" si="9"/>
        <v>283</v>
      </c>
      <c r="O42" s="4">
        <f t="shared" si="9"/>
        <v>386</v>
      </c>
      <c r="P42" s="4">
        <f t="shared" si="9"/>
        <v>389</v>
      </c>
      <c r="Q42" s="4">
        <f t="shared" si="9"/>
        <v>232</v>
      </c>
      <c r="R42" s="4">
        <f t="shared" si="9"/>
        <v>436</v>
      </c>
      <c r="S42" s="4">
        <f t="shared" si="9"/>
        <v>399</v>
      </c>
      <c r="T42" s="4">
        <f t="shared" si="9"/>
        <v>386</v>
      </c>
      <c r="U42" s="4">
        <f t="shared" si="9"/>
        <v>206.01999999999998</v>
      </c>
      <c r="V42" s="4">
        <f t="shared" si="9"/>
        <v>398.83999999999992</v>
      </c>
    </row>
    <row r="43" spans="2:29" s="2" customFormat="1" x14ac:dyDescent="0.2">
      <c r="B43" s="2" t="s">
        <v>32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2:29" s="2" customFormat="1" x14ac:dyDescent="0.2">
      <c r="B44" s="2" t="s">
        <v>35</v>
      </c>
      <c r="C44" s="4">
        <v>-24</v>
      </c>
      <c r="D44" s="4">
        <v>-10</v>
      </c>
      <c r="E44" s="4">
        <v>-10</v>
      </c>
      <c r="F44" s="4">
        <v>9</v>
      </c>
      <c r="G44" s="4">
        <v>2</v>
      </c>
      <c r="H44" s="4">
        <v>-82</v>
      </c>
      <c r="I44" s="4">
        <v>-101</v>
      </c>
      <c r="J44" s="4">
        <v>-98</v>
      </c>
      <c r="K44" s="4">
        <v>-93</v>
      </c>
      <c r="L44" s="4">
        <v>-84</v>
      </c>
      <c r="M44" s="4">
        <v>-116</v>
      </c>
      <c r="N44" s="4">
        <v>-155</v>
      </c>
      <c r="O44" s="4">
        <v>-147</v>
      </c>
      <c r="P44" s="4">
        <v>-133</v>
      </c>
      <c r="Q44" s="4">
        <f>-134-4</f>
        <v>-138</v>
      </c>
      <c r="R44" s="4">
        <v>-129</v>
      </c>
      <c r="S44" s="4">
        <v>-140</v>
      </c>
      <c r="T44" s="4">
        <v>-137</v>
      </c>
      <c r="U44" s="4"/>
      <c r="V44" s="4"/>
    </row>
    <row r="45" spans="2:29" s="2" customFormat="1" x14ac:dyDescent="0.2">
      <c r="B45" s="2" t="s">
        <v>36</v>
      </c>
      <c r="C45" s="4">
        <v>844</v>
      </c>
      <c r="D45" s="4">
        <v>702</v>
      </c>
      <c r="E45" s="4">
        <v>681</v>
      </c>
      <c r="F45" s="4">
        <v>525</v>
      </c>
      <c r="G45" s="4">
        <v>467</v>
      </c>
      <c r="H45" s="4">
        <v>437</v>
      </c>
      <c r="I45" s="4">
        <v>389</v>
      </c>
      <c r="J45" s="4">
        <v>236</v>
      </c>
      <c r="K45" s="4">
        <v>442</v>
      </c>
      <c r="L45" s="4">
        <v>287</v>
      </c>
      <c r="M45" s="4">
        <v>282</v>
      </c>
      <c r="N45" s="4">
        <v>111</v>
      </c>
      <c r="O45" s="4">
        <v>235</v>
      </c>
      <c r="P45" s="4">
        <f>+P42+P44</f>
        <v>256</v>
      </c>
      <c r="Q45" s="4">
        <f>+Q44+Q42</f>
        <v>94</v>
      </c>
      <c r="R45" s="4">
        <f>+R44+R42</f>
        <v>307</v>
      </c>
      <c r="S45" s="4">
        <v>236</v>
      </c>
      <c r="T45" s="4">
        <f>+T44+T42</f>
        <v>249</v>
      </c>
      <c r="U45" s="4">
        <f>+U44+U42</f>
        <v>206.01999999999998</v>
      </c>
      <c r="V45" s="4">
        <f>+V44+V42</f>
        <v>398.83999999999992</v>
      </c>
    </row>
    <row r="46" spans="2:29" s="2" customFormat="1" x14ac:dyDescent="0.2">
      <c r="B46" s="2" t="s">
        <v>37</v>
      </c>
      <c r="C46" s="4">
        <v>110</v>
      </c>
      <c r="D46" s="4">
        <v>116</v>
      </c>
      <c r="E46" s="4">
        <v>121</v>
      </c>
      <c r="F46" s="4">
        <v>149</v>
      </c>
      <c r="G46" s="4">
        <v>72</v>
      </c>
      <c r="H46" s="4">
        <v>6</v>
      </c>
      <c r="I46" s="4">
        <v>66</v>
      </c>
      <c r="J46" s="4">
        <v>34</v>
      </c>
      <c r="K46" s="4">
        <v>94</v>
      </c>
      <c r="L46" s="4">
        <v>53</v>
      </c>
      <c r="M46" s="4">
        <v>55</v>
      </c>
      <c r="N46" s="4">
        <v>3</v>
      </c>
      <c r="O46" s="4">
        <v>58</v>
      </c>
      <c r="P46" s="4">
        <v>12</v>
      </c>
      <c r="Q46" s="4">
        <v>22</v>
      </c>
      <c r="R46" s="4">
        <v>64</v>
      </c>
      <c r="S46" s="4">
        <v>35</v>
      </c>
      <c r="T46" s="4">
        <v>40</v>
      </c>
      <c r="U46" s="4"/>
      <c r="V46" s="4"/>
    </row>
    <row r="47" spans="2:29" s="2" customFormat="1" x14ac:dyDescent="0.2">
      <c r="B47" s="2" t="s">
        <v>38</v>
      </c>
      <c r="C47" s="4">
        <v>703</v>
      </c>
      <c r="D47" s="4">
        <v>542</v>
      </c>
      <c r="E47" s="4">
        <v>547</v>
      </c>
      <c r="F47" s="4">
        <v>368</v>
      </c>
      <c r="G47" s="4">
        <v>399</v>
      </c>
      <c r="H47" s="4">
        <v>427</v>
      </c>
      <c r="I47" s="4">
        <v>323</v>
      </c>
      <c r="J47" s="4">
        <v>202</v>
      </c>
      <c r="K47" s="4">
        <v>348</v>
      </c>
      <c r="L47" s="4">
        <v>234</v>
      </c>
      <c r="M47" s="4">
        <v>227</v>
      </c>
      <c r="N47" s="4">
        <v>108</v>
      </c>
      <c r="O47" s="4">
        <v>177</v>
      </c>
      <c r="P47" s="4">
        <f>+P45-P46</f>
        <v>244</v>
      </c>
      <c r="Q47" s="4">
        <f>+Q45-Q46</f>
        <v>72</v>
      </c>
      <c r="R47" s="4">
        <f>+R45-R46</f>
        <v>243</v>
      </c>
      <c r="S47" s="4">
        <v>201</v>
      </c>
      <c r="T47" s="4">
        <f>+T45-T46</f>
        <v>209</v>
      </c>
      <c r="U47" s="4"/>
      <c r="V47" s="4"/>
    </row>
    <row r="48" spans="2:29" s="2" customFormat="1" x14ac:dyDescent="0.2">
      <c r="B48" s="2" t="s">
        <v>42</v>
      </c>
      <c r="C48" s="4">
        <v>734</v>
      </c>
      <c r="D48" s="4">
        <v>586</v>
      </c>
      <c r="E48" s="4">
        <v>560</v>
      </c>
      <c r="F48" s="4">
        <v>376</v>
      </c>
      <c r="G48" s="4">
        <v>395</v>
      </c>
      <c r="H48" s="4">
        <v>431</v>
      </c>
      <c r="I48" s="4"/>
      <c r="J48" s="4"/>
      <c r="K48" s="4"/>
      <c r="L48" s="4"/>
      <c r="M48" s="6">
        <f>+M47/M49</f>
        <v>0.88996224521400258</v>
      </c>
      <c r="N48" s="6">
        <f>+N47/N49</f>
        <v>0.42288265006460707</v>
      </c>
      <c r="O48" s="4"/>
      <c r="P48" s="6">
        <f>+P47/P49</f>
        <v>0.95330001992553315</v>
      </c>
      <c r="Q48" s="6">
        <f>+Q47/Q49</f>
        <v>0.28086709914998692</v>
      </c>
      <c r="R48" s="6">
        <f>+R47/R49</f>
        <v>0.94703612767450029</v>
      </c>
      <c r="S48" s="6">
        <f>+S47/S49</f>
        <v>0.7779781856464959</v>
      </c>
      <c r="T48" s="6">
        <f>+T47/T49</f>
        <v>0.80820423978530376</v>
      </c>
      <c r="U48" s="4"/>
      <c r="V48" s="4"/>
    </row>
    <row r="49" spans="2:29" s="2" customFormat="1" x14ac:dyDescent="0.2">
      <c r="B49" s="2" t="s">
        <v>41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>
        <v>255.06700000000001</v>
      </c>
      <c r="N49" s="4">
        <v>255.39</v>
      </c>
      <c r="O49" s="4"/>
      <c r="P49" s="4">
        <v>255.953</v>
      </c>
      <c r="Q49" s="4">
        <v>256.34899999999999</v>
      </c>
      <c r="R49" s="4">
        <v>256.58999999999997</v>
      </c>
      <c r="S49" s="4">
        <v>258.36200000000002</v>
      </c>
      <c r="T49" s="4">
        <v>258.59800000000001</v>
      </c>
      <c r="U49" s="4"/>
      <c r="V49" s="4"/>
    </row>
    <row r="50" spans="2:29" s="2" customForma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2:29" s="2" customForma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2:29" x14ac:dyDescent="0.2">
      <c r="B52" s="2" t="s">
        <v>39</v>
      </c>
      <c r="G52" s="5">
        <f>+G36/C36-1</f>
        <v>-0.15393258426966294</v>
      </c>
      <c r="H52" s="5">
        <f>+H36/D36-1</f>
        <v>4.5216251638269922E-2</v>
      </c>
      <c r="I52" s="5">
        <f>+I36/E36-1</f>
        <v>-8.0595164290142574E-3</v>
      </c>
      <c r="J52" s="5">
        <f>+J36/F36-1</f>
        <v>-6.1996280223186595E-3</v>
      </c>
      <c r="K52" s="5">
        <f t="shared" ref="K52" si="10">+K36/G36-1</f>
        <v>4.0504648074369154E-2</v>
      </c>
      <c r="L52" s="5">
        <f t="shared" ref="L52" si="11">+L36/H36-1</f>
        <v>-6.2695924764890609E-3</v>
      </c>
      <c r="M52" s="5">
        <f t="shared" ref="M52" si="12">+M36/I36-1</f>
        <v>-3.9375000000000049E-2</v>
      </c>
      <c r="N52" s="5">
        <f t="shared" ref="N52" si="13">+N36/J36-1</f>
        <v>-7.3611977542108575E-2</v>
      </c>
      <c r="O52" s="5">
        <f t="shared" ref="O52" si="14">+O36/K36-1</f>
        <v>-1.8506700701978351E-2</v>
      </c>
      <c r="P52" s="5">
        <f t="shared" ref="P52:S52" si="15">+P36/L36-1</f>
        <v>1.4511041009463765E-2</v>
      </c>
      <c r="Q52" s="5">
        <f t="shared" si="15"/>
        <v>-1.1711125569290881E-2</v>
      </c>
      <c r="R52" s="5">
        <f t="shared" si="15"/>
        <v>7.6094276094275992E-2</v>
      </c>
      <c r="S52" s="5">
        <f t="shared" si="15"/>
        <v>5.4616384915474603E-2</v>
      </c>
      <c r="T52" s="5">
        <f>+T36/P36-1</f>
        <v>-6.2189054726369264E-4</v>
      </c>
      <c r="Z52" s="9">
        <f>+Z36/Y36-1</f>
        <v>-3.4905082669932641E-2</v>
      </c>
      <c r="AA52" s="9">
        <f t="shared" ref="AA52:AC52" si="16">+AA36/Z36-1</f>
        <v>-2.062182741116747E-2</v>
      </c>
      <c r="AB52" s="9">
        <f t="shared" si="16"/>
        <v>1.4415289925493902E-2</v>
      </c>
      <c r="AC52" s="9">
        <f t="shared" si="16"/>
        <v>1.3252434935334456E-2</v>
      </c>
    </row>
    <row r="53" spans="2:29" x14ac:dyDescent="0.2">
      <c r="B53" s="2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>
        <v>0.08</v>
      </c>
      <c r="S53" s="5">
        <v>7.0000000000000007E-2</v>
      </c>
      <c r="T53" s="5">
        <v>0.02</v>
      </c>
    </row>
    <row r="54" spans="2:29" x14ac:dyDescent="0.2">
      <c r="B54" s="2" t="s">
        <v>40</v>
      </c>
      <c r="G54" s="5">
        <f>+G38/G36</f>
        <v>0.60756972111553786</v>
      </c>
      <c r="H54" s="5">
        <f t="shared" ref="H54:T54" si="17">+H38/H36</f>
        <v>0.6344827586206897</v>
      </c>
      <c r="I54" s="5">
        <f t="shared" si="17"/>
        <v>0.61937500000000001</v>
      </c>
      <c r="J54" s="5">
        <f t="shared" si="17"/>
        <v>0.62632563942607611</v>
      </c>
      <c r="K54" s="5">
        <f t="shared" si="17"/>
        <v>0.63943841735800888</v>
      </c>
      <c r="L54" s="5">
        <f t="shared" si="17"/>
        <v>0.6290220820189274</v>
      </c>
      <c r="M54" s="5">
        <f t="shared" si="17"/>
        <v>0.64150943396226412</v>
      </c>
      <c r="N54" s="5">
        <f t="shared" si="17"/>
        <v>0.60269360269360273</v>
      </c>
      <c r="O54" s="5">
        <f t="shared" si="17"/>
        <v>0.62288686605981791</v>
      </c>
      <c r="P54" s="5">
        <f t="shared" si="17"/>
        <v>0.60199004975124382</v>
      </c>
      <c r="Q54" s="5">
        <f t="shared" si="17"/>
        <v>0.59710335747202103</v>
      </c>
      <c r="R54" s="5">
        <f t="shared" si="17"/>
        <v>0.60325406758448064</v>
      </c>
      <c r="S54" s="5">
        <f t="shared" si="17"/>
        <v>0.59001233045622692</v>
      </c>
      <c r="T54" s="5">
        <f t="shared" si="17"/>
        <v>0.58431860609831987</v>
      </c>
      <c r="Y54" s="5">
        <f t="shared" ref="Y54:AC54" si="18">+Y38/Y36</f>
        <v>0.67559706062461722</v>
      </c>
      <c r="Z54" s="5">
        <f t="shared" si="18"/>
        <v>0.62214467005076146</v>
      </c>
      <c r="AA54" s="5">
        <f t="shared" si="18"/>
        <v>0.62844185293164889</v>
      </c>
      <c r="AB54" s="5">
        <f t="shared" si="18"/>
        <v>0.6062589813188568</v>
      </c>
      <c r="AC54" s="5">
        <f t="shared" si="18"/>
        <v>0.5836526946107784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2024-09-27T18:42:58Z</dcterms:created>
  <dcterms:modified xsi:type="dcterms:W3CDTF">2025-10-14T20:33:17Z</dcterms:modified>
</cp:coreProperties>
</file>