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796DA2B4-7837-406F-A8C0-7FA6518FA9AD}" xr6:coauthVersionLast="47" xr6:coauthVersionMax="47" xr10:uidLastSave="{00000000-0000-0000-0000-000000000000}"/>
  <bookViews>
    <workbookView xWindow="3975" yWindow="3975" windowWidth="18075" windowHeight="16020" activeTab="1" xr2:uid="{5B904A37-3511-41DD-B434-169A3B38B9A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N10" i="2"/>
  <c r="M10" i="2"/>
  <c r="L10" i="2"/>
  <c r="K10" i="2"/>
  <c r="O10" i="2" s="1"/>
  <c r="N9" i="2"/>
  <c r="M9" i="2"/>
  <c r="L9" i="2"/>
  <c r="L11" i="2" s="1"/>
  <c r="L12" i="2" s="1"/>
  <c r="L14" i="2" s="1"/>
  <c r="K9" i="2"/>
  <c r="O9" i="2" s="1"/>
  <c r="O8" i="2"/>
  <c r="N8" i="2"/>
  <c r="N11" i="2" s="1"/>
  <c r="N12" i="2" s="1"/>
  <c r="N14" i="2" s="1"/>
  <c r="M8" i="2"/>
  <c r="M11" i="2" s="1"/>
  <c r="M12" i="2" s="1"/>
  <c r="M14" i="2" s="1"/>
  <c r="L8" i="2"/>
  <c r="K8" i="2"/>
  <c r="O13" i="2"/>
  <c r="N13" i="2"/>
  <c r="M13" i="2"/>
  <c r="L13" i="2"/>
  <c r="K13" i="2"/>
  <c r="O18" i="2"/>
  <c r="N18" i="2"/>
  <c r="M18" i="2"/>
  <c r="L18" i="2"/>
  <c r="K18" i="2"/>
  <c r="K11" i="2"/>
  <c r="K12" i="2" s="1"/>
  <c r="K14" i="2" s="1"/>
  <c r="K15" i="2" s="1"/>
  <c r="O6" i="2"/>
  <c r="N6" i="2"/>
  <c r="M6" i="2"/>
  <c r="L6" i="2"/>
  <c r="K6" i="2"/>
  <c r="O7" i="2"/>
  <c r="N7" i="2"/>
  <c r="N21" i="2" s="1"/>
  <c r="M7" i="2"/>
  <c r="M21" i="2" s="1"/>
  <c r="L7" i="2"/>
  <c r="K7" i="2"/>
  <c r="O21" i="2"/>
  <c r="L21" i="2"/>
  <c r="K21" i="2"/>
  <c r="O20" i="2"/>
  <c r="N20" i="2"/>
  <c r="M20" i="2"/>
  <c r="L20" i="2"/>
  <c r="K20" i="2"/>
  <c r="O5" i="2"/>
  <c r="N5" i="2"/>
  <c r="M5" i="2"/>
  <c r="L5" i="2"/>
  <c r="K5" i="2"/>
  <c r="C5" i="2"/>
  <c r="G5" i="2"/>
  <c r="L15" i="2" l="1"/>
  <c r="L16" i="2" s="1"/>
  <c r="L17" i="2" s="1"/>
  <c r="O11" i="2"/>
  <c r="O12" i="2" s="1"/>
  <c r="O14" i="2" s="1"/>
  <c r="O15" i="2" s="1"/>
  <c r="N15" i="2"/>
  <c r="N16" i="2" s="1"/>
  <c r="N17" i="2" s="1"/>
  <c r="M15" i="2"/>
  <c r="M16" i="2" s="1"/>
  <c r="M17" i="2" s="1"/>
  <c r="K16" i="2"/>
  <c r="K17" i="2" s="1"/>
  <c r="C13" i="2"/>
  <c r="C11" i="2"/>
  <c r="C7" i="2"/>
  <c r="G13" i="2"/>
  <c r="G20" i="2"/>
  <c r="G11" i="2"/>
  <c r="G7" i="2"/>
  <c r="C21" i="2"/>
  <c r="D13" i="2"/>
  <c r="D11" i="2"/>
  <c r="D7" i="2"/>
  <c r="H20" i="2"/>
  <c r="H13" i="2"/>
  <c r="H11" i="2"/>
  <c r="H7" i="2"/>
  <c r="H21" i="2" s="1"/>
  <c r="I5" i="2"/>
  <c r="E5" i="2"/>
  <c r="E13" i="2"/>
  <c r="E11" i="2"/>
  <c r="E7" i="2"/>
  <c r="E21" i="2" s="1"/>
  <c r="I13" i="2"/>
  <c r="I11" i="2"/>
  <c r="J5" i="2"/>
  <c r="J20" i="2" s="1"/>
  <c r="F5" i="2"/>
  <c r="F7" i="2" s="1"/>
  <c r="F21" i="2" s="1"/>
  <c r="F13" i="2"/>
  <c r="F11" i="2"/>
  <c r="J13" i="2"/>
  <c r="J11" i="2"/>
  <c r="K4" i="1"/>
  <c r="O16" i="2" l="1"/>
  <c r="O17" i="2" s="1"/>
  <c r="C12" i="2"/>
  <c r="C14" i="2" s="1"/>
  <c r="C16" i="2" s="1"/>
  <c r="C17" i="2" s="1"/>
  <c r="G12" i="2"/>
  <c r="G14" i="2" s="1"/>
  <c r="G16" i="2" s="1"/>
  <c r="G17" i="2" s="1"/>
  <c r="G21" i="2"/>
  <c r="I20" i="2"/>
  <c r="J7" i="2"/>
  <c r="J12" i="2" s="1"/>
  <c r="J14" i="2" s="1"/>
  <c r="J16" i="2" s="1"/>
  <c r="J17" i="2" s="1"/>
  <c r="D21" i="2"/>
  <c r="D12" i="2"/>
  <c r="D14" i="2" s="1"/>
  <c r="D16" i="2" s="1"/>
  <c r="D17" i="2" s="1"/>
  <c r="H12" i="2"/>
  <c r="H14" i="2" s="1"/>
  <c r="H16" i="2" s="1"/>
  <c r="H17" i="2" s="1"/>
  <c r="E12" i="2"/>
  <c r="E14" i="2" s="1"/>
  <c r="E16" i="2" s="1"/>
  <c r="E17" i="2" s="1"/>
  <c r="I7" i="2"/>
  <c r="J21" i="2"/>
  <c r="F12" i="2"/>
  <c r="F14" i="2" s="1"/>
  <c r="F16" i="2" s="1"/>
  <c r="F17" i="2" s="1"/>
  <c r="I21" i="2" l="1"/>
  <c r="I12" i="2"/>
  <c r="I14" i="2" s="1"/>
  <c r="I16" i="2" s="1"/>
  <c r="I17" i="2" s="1"/>
</calcChain>
</file>

<file path=xl/sharedStrings.xml><?xml version="1.0" encoding="utf-8"?>
<sst xmlns="http://schemas.openxmlformats.org/spreadsheetml/2006/main" count="42" uniqueCount="37">
  <si>
    <t>Price</t>
  </si>
  <si>
    <t>Shares</t>
  </si>
  <si>
    <t>MC</t>
  </si>
  <si>
    <t>Cash</t>
  </si>
  <si>
    <t>Debt</t>
  </si>
  <si>
    <t>EV</t>
  </si>
  <si>
    <t>Main</t>
  </si>
  <si>
    <t>Revenue</t>
  </si>
  <si>
    <t>Q124</t>
  </si>
  <si>
    <t>Q224</t>
  </si>
  <si>
    <t>Q324</t>
  </si>
  <si>
    <t>Q424</t>
  </si>
  <si>
    <t>Q125</t>
  </si>
  <si>
    <t>Q225</t>
  </si>
  <si>
    <t>Q325</t>
  </si>
  <si>
    <t>Q425</t>
  </si>
  <si>
    <t>Q123</t>
  </si>
  <si>
    <t>Q223</t>
  </si>
  <si>
    <t>Q323</t>
  </si>
  <si>
    <t>Q423</t>
  </si>
  <si>
    <t>RMB</t>
  </si>
  <si>
    <t>Operating Expenses</t>
  </si>
  <si>
    <t>Operating Income</t>
  </si>
  <si>
    <t>R&amp;D</t>
  </si>
  <si>
    <t>G&amp;A</t>
  </si>
  <si>
    <t>S&amp;M</t>
  </si>
  <si>
    <t>Gross Profit</t>
  </si>
  <si>
    <t>COGS</t>
  </si>
  <si>
    <t>Net Income</t>
  </si>
  <si>
    <t>Taxes</t>
  </si>
  <si>
    <t>Pretax Income</t>
  </si>
  <si>
    <t>Interest Income</t>
  </si>
  <si>
    <t>EPS</t>
  </si>
  <si>
    <t>Revenue y/y</t>
  </si>
  <si>
    <t>Gross Margin</t>
  </si>
  <si>
    <t>Online marketing</t>
  </si>
  <si>
    <t>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</si>
</sst>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9BB31FD-4144-47F1-8690-06D74B2A82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26276</xdr:colOff>
      <xdr:row>0</xdr:row>
      <xdr:rowOff>19707</xdr:rowOff>
    </xdr:from>
    <xdr:to>
      <xdr:col>10</xdr:col>
      <xdr:colOff>26276</xdr:colOff>
      <xdr:row>39</xdr:row>
      <xdr:rowOff>52552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E4F9CFF-DA30-8FA0-B169-7E4422FA455A}"/>
            </a:ext>
          </a:extLst>
        </xdr:cNvPr>
        <xdr:cNvCxnSpPr/>
      </xdr:nvCxnSpPr>
      <xdr:spPr>
        <a:xfrm>
          <a:off x="6477000" y="19707"/>
          <a:ext cx="0" cy="643758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C42-B9F8-477C-91E6-57F5C9643830}">
  <dimension ref="J2:L7"/>
  <sheetViews>
    <sheetView zoomScaleNormal="100" workbookViewId="0">
      <selection activeCell="L7" sqref="L7"/>
    </sheetView>
  </sheetViews>
  <sheetFormatPr defaultColWidth="8.7109375" defaultRowHeight="12.75" x14ac:dyDescent="0.2"/>
  <cols>
    <col min="1" max="16384" width="8.7109375" style="9"/>
  </cols>
  <sheetData>
    <row r="2" spans="10:12" x14ac:dyDescent="0.2">
      <c r="J2" s="9" t="s">
        <v>0</v>
      </c>
      <c r="K2" s="10">
        <v>119.23</v>
      </c>
    </row>
    <row r="3" spans="10:12" x14ac:dyDescent="0.2">
      <c r="J3" s="9" t="s">
        <v>1</v>
      </c>
      <c r="K3" s="11">
        <v>5909.7929999999997</v>
      </c>
      <c r="L3" s="9" t="s">
        <v>10</v>
      </c>
    </row>
    <row r="4" spans="10:12" x14ac:dyDescent="0.2">
      <c r="J4" s="9" t="s">
        <v>2</v>
      </c>
      <c r="K4" s="11">
        <f>+K2*K3/4</f>
        <v>176156.1548475</v>
      </c>
    </row>
    <row r="5" spans="10:12" x14ac:dyDescent="0.2">
      <c r="J5" s="9" t="s">
        <v>3</v>
      </c>
      <c r="K5" s="11">
        <f>(65295.431+60393+243166.321)*0.14</f>
        <v>51639.665280000001</v>
      </c>
      <c r="L5" s="9" t="s">
        <v>10</v>
      </c>
    </row>
    <row r="6" spans="10:12" x14ac:dyDescent="0.2">
      <c r="J6" s="9" t="s">
        <v>4</v>
      </c>
      <c r="K6" s="11">
        <f>5175.904*0.14</f>
        <v>724.62656000000015</v>
      </c>
      <c r="L6" s="9" t="s">
        <v>10</v>
      </c>
    </row>
    <row r="7" spans="10:12" x14ac:dyDescent="0.2">
      <c r="J7" s="9" t="s">
        <v>5</v>
      </c>
      <c r="K7" s="11">
        <f>+K4-K5+K6</f>
        <v>125241.1161275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9734-B435-4C76-B3CD-3B72E9D413D9}">
  <dimension ref="A1:O2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1" sqref="O21"/>
    </sheetView>
  </sheetViews>
  <sheetFormatPr defaultRowHeight="12.75" x14ac:dyDescent="0.2"/>
  <cols>
    <col min="1" max="1" width="5" style="1" bestFit="1" customWidth="1"/>
    <col min="2" max="2" width="18.140625" style="1" bestFit="1" customWidth="1"/>
    <col min="3" max="5" width="9.140625" style="2"/>
    <col min="6" max="6" width="9.42578125" style="2" customWidth="1"/>
    <col min="7" max="15" width="9.140625" style="2"/>
    <col min="16" max="16384" width="9.140625" style="1"/>
  </cols>
  <sheetData>
    <row r="1" spans="1:15" x14ac:dyDescent="0.2">
      <c r="A1" s="1" t="s">
        <v>6</v>
      </c>
    </row>
    <row r="2" spans="1:15" x14ac:dyDescent="0.2">
      <c r="B2" s="1" t="s">
        <v>20</v>
      </c>
      <c r="C2" s="2" t="s">
        <v>11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s="3" customFormat="1" x14ac:dyDescent="0.2">
      <c r="B3" s="3" t="s">
        <v>35</v>
      </c>
      <c r="C3" s="4">
        <v>31023.4</v>
      </c>
      <c r="D3" s="4"/>
      <c r="E3" s="4">
        <v>37932.830999999998</v>
      </c>
      <c r="F3" s="4">
        <v>39687.678</v>
      </c>
      <c r="G3" s="4">
        <v>48675.618000000002</v>
      </c>
      <c r="H3" s="4"/>
      <c r="I3" s="4">
        <v>49115.866000000002</v>
      </c>
      <c r="J3" s="4">
        <v>49351.021999999997</v>
      </c>
      <c r="K3" s="4"/>
      <c r="L3" s="4"/>
      <c r="M3" s="4"/>
      <c r="N3" s="4"/>
      <c r="O3" s="4"/>
    </row>
    <row r="4" spans="1:15" s="3" customFormat="1" x14ac:dyDescent="0.2">
      <c r="B4" s="3" t="s">
        <v>36</v>
      </c>
      <c r="C4" s="4">
        <v>8796.6280000000006</v>
      </c>
      <c r="D4" s="4"/>
      <c r="E4" s="4">
        <v>14347.916999999999</v>
      </c>
      <c r="F4" s="4">
        <v>29152.692999999999</v>
      </c>
      <c r="G4" s="4">
        <v>40205.417999999998</v>
      </c>
      <c r="H4" s="4"/>
      <c r="I4" s="4">
        <v>47943.665000000001</v>
      </c>
      <c r="J4" s="4">
        <v>50003.379000000001</v>
      </c>
      <c r="K4" s="4"/>
      <c r="L4" s="4"/>
      <c r="M4" s="4"/>
      <c r="N4" s="4"/>
      <c r="O4" s="4"/>
    </row>
    <row r="5" spans="1:15" s="6" customFormat="1" x14ac:dyDescent="0.2">
      <c r="B5" s="6" t="s">
        <v>7</v>
      </c>
      <c r="C5" s="7">
        <f>+C4+C3</f>
        <v>39820.028000000006</v>
      </c>
      <c r="D5" s="7">
        <v>37637.050000000003</v>
      </c>
      <c r="E5" s="7">
        <f>+E4+E3</f>
        <v>52280.748</v>
      </c>
      <c r="F5" s="7">
        <f>+F4+F3</f>
        <v>68840.370999999999</v>
      </c>
      <c r="G5" s="7">
        <f>+G4+G3</f>
        <v>88881.035999999993</v>
      </c>
      <c r="H5" s="7">
        <v>86812.058999999994</v>
      </c>
      <c r="I5" s="7">
        <f>+I4+I3</f>
        <v>97059.531000000003</v>
      </c>
      <c r="J5" s="7">
        <f>+J4+J3</f>
        <v>99354.400999999998</v>
      </c>
      <c r="K5" s="7">
        <f>+G5*1.3</f>
        <v>115545.3468</v>
      </c>
      <c r="L5" s="7">
        <f>+H5*1.2</f>
        <v>104174.4708</v>
      </c>
      <c r="M5" s="7">
        <f>+I5*1.1</f>
        <v>106765.48410000002</v>
      </c>
      <c r="N5" s="7">
        <f>+J5*1.1</f>
        <v>109289.84110000001</v>
      </c>
      <c r="O5" s="7">
        <f>+K5*1.1</f>
        <v>127099.88148000001</v>
      </c>
    </row>
    <row r="6" spans="1:15" s="3" customFormat="1" x14ac:dyDescent="0.2">
      <c r="B6" s="3" t="s">
        <v>27</v>
      </c>
      <c r="C6" s="4">
        <v>8926.7049999999999</v>
      </c>
      <c r="D6" s="4">
        <v>11125.285</v>
      </c>
      <c r="E6" s="4">
        <v>18689.787</v>
      </c>
      <c r="F6" s="4">
        <v>26830.233</v>
      </c>
      <c r="G6" s="4">
        <v>35078.271999999997</v>
      </c>
      <c r="H6" s="4">
        <v>32694.686000000002</v>
      </c>
      <c r="I6" s="4">
        <v>33698.097999999998</v>
      </c>
      <c r="J6" s="4">
        <v>39709.214</v>
      </c>
      <c r="K6" s="4">
        <f>+K5-K7</f>
        <v>46218.138720000003</v>
      </c>
      <c r="L6" s="4">
        <f>+L5-L7</f>
        <v>41669.78832</v>
      </c>
      <c r="M6" s="4">
        <f>+M5-M7</f>
        <v>42706.193640000012</v>
      </c>
      <c r="N6" s="4">
        <f>+N5-N7</f>
        <v>43715.936440000005</v>
      </c>
      <c r="O6" s="4">
        <f>+O5-O7</f>
        <v>50839.952592000001</v>
      </c>
    </row>
    <row r="7" spans="1:15" s="3" customFormat="1" x14ac:dyDescent="0.2">
      <c r="B7" s="3" t="s">
        <v>26</v>
      </c>
      <c r="C7" s="4">
        <f t="shared" ref="C7:J7" si="0">+C5-C6</f>
        <v>30893.323000000004</v>
      </c>
      <c r="D7" s="4">
        <f t="shared" si="0"/>
        <v>26511.765000000003</v>
      </c>
      <c r="E7" s="4">
        <f t="shared" si="0"/>
        <v>33590.960999999996</v>
      </c>
      <c r="F7" s="4">
        <f t="shared" si="0"/>
        <v>42010.137999999999</v>
      </c>
      <c r="G7" s="4">
        <f t="shared" si="0"/>
        <v>53802.763999999996</v>
      </c>
      <c r="H7" s="4">
        <f t="shared" si="0"/>
        <v>54117.372999999992</v>
      </c>
      <c r="I7" s="4">
        <f t="shared" si="0"/>
        <v>63361.433000000005</v>
      </c>
      <c r="J7" s="4">
        <f t="shared" si="0"/>
        <v>59645.186999999998</v>
      </c>
      <c r="K7" s="4">
        <f>+K5*0.6</f>
        <v>69327.208079999997</v>
      </c>
      <c r="L7" s="4">
        <f>+L5*0.6</f>
        <v>62504.682479999996</v>
      </c>
      <c r="M7" s="4">
        <f>+M5*0.6</f>
        <v>64059.290460000004</v>
      </c>
      <c r="N7" s="4">
        <f>+N5*0.6</f>
        <v>65573.90466</v>
      </c>
      <c r="O7" s="4">
        <f>+O5*0.6</f>
        <v>76259.928888000009</v>
      </c>
    </row>
    <row r="8" spans="1:15" s="3" customFormat="1" x14ac:dyDescent="0.2">
      <c r="B8" s="3" t="s">
        <v>25</v>
      </c>
      <c r="C8" s="4">
        <v>17732.383999999998</v>
      </c>
      <c r="D8" s="4">
        <v>16259.688</v>
      </c>
      <c r="E8" s="4">
        <v>17542.2</v>
      </c>
      <c r="F8" s="4">
        <v>21748.449000000001</v>
      </c>
      <c r="G8" s="4">
        <v>26638.524000000001</v>
      </c>
      <c r="H8" s="4">
        <v>23410.654999999999</v>
      </c>
      <c r="I8" s="4">
        <v>26049.136999999999</v>
      </c>
      <c r="J8" s="4">
        <v>30483.8</v>
      </c>
      <c r="K8" s="4">
        <f>+G8*1.05</f>
        <v>27970.450200000003</v>
      </c>
      <c r="L8" s="4">
        <f t="shared" ref="L8:L10" si="1">+H8*1.05</f>
        <v>24581.187750000001</v>
      </c>
      <c r="M8" s="4">
        <f t="shared" ref="M8:M10" si="2">+I8*1.05</f>
        <v>27351.593850000001</v>
      </c>
      <c r="N8" s="4">
        <f t="shared" ref="N8:N10" si="3">+J8*1.05</f>
        <v>32007.99</v>
      </c>
      <c r="O8" s="4">
        <f t="shared" ref="O8:O10" si="4">+K8*1.05</f>
        <v>29368.972710000005</v>
      </c>
    </row>
    <row r="9" spans="1:15" s="3" customFormat="1" x14ac:dyDescent="0.2">
      <c r="B9" s="3" t="s">
        <v>24</v>
      </c>
      <c r="C9" s="4">
        <v>1640.527</v>
      </c>
      <c r="D9" s="4">
        <v>816.40200000000004</v>
      </c>
      <c r="E9" s="4">
        <v>596.03300000000002</v>
      </c>
      <c r="F9" s="4">
        <v>758.34500000000003</v>
      </c>
      <c r="G9" s="4">
        <v>1904.8420000000001</v>
      </c>
      <c r="H9" s="4">
        <v>1823.4449999999999</v>
      </c>
      <c r="I9" s="4">
        <v>1838.55</v>
      </c>
      <c r="J9" s="4">
        <v>1805.576</v>
      </c>
      <c r="K9" s="4">
        <f t="shared" ref="K9:K10" si="5">+G9*1.05</f>
        <v>2000.0841000000003</v>
      </c>
      <c r="L9" s="4">
        <f t="shared" si="1"/>
        <v>1914.61725</v>
      </c>
      <c r="M9" s="4">
        <f t="shared" si="2"/>
        <v>1930.4775</v>
      </c>
      <c r="N9" s="4">
        <f t="shared" si="3"/>
        <v>1895.8548000000001</v>
      </c>
      <c r="O9" s="4">
        <f t="shared" si="4"/>
        <v>2100.0883050000002</v>
      </c>
    </row>
    <row r="10" spans="1:15" s="3" customFormat="1" x14ac:dyDescent="0.2">
      <c r="B10" s="3" t="s">
        <v>23</v>
      </c>
      <c r="C10" s="4">
        <v>2406.6770000000001</v>
      </c>
      <c r="D10" s="4">
        <v>2506.6570000000002</v>
      </c>
      <c r="E10" s="4">
        <v>2733.9639999999999</v>
      </c>
      <c r="F10" s="4">
        <v>2847.3229999999999</v>
      </c>
      <c r="G10" s="4">
        <v>2864.43</v>
      </c>
      <c r="H10" s="4">
        <v>2909.62</v>
      </c>
      <c r="I10" s="4">
        <v>2909.21</v>
      </c>
      <c r="J10" s="4">
        <v>3063.3530000000001</v>
      </c>
      <c r="K10" s="4">
        <f t="shared" si="5"/>
        <v>3007.6514999999999</v>
      </c>
      <c r="L10" s="4">
        <f t="shared" si="1"/>
        <v>3055.1010000000001</v>
      </c>
      <c r="M10" s="4">
        <f t="shared" si="2"/>
        <v>3054.6705000000002</v>
      </c>
      <c r="N10" s="4">
        <f t="shared" si="3"/>
        <v>3216.5206500000004</v>
      </c>
      <c r="O10" s="4">
        <f t="shared" si="4"/>
        <v>3158.034075</v>
      </c>
    </row>
    <row r="11" spans="1:15" s="3" customFormat="1" x14ac:dyDescent="0.2">
      <c r="B11" s="3" t="s">
        <v>21</v>
      </c>
      <c r="C11" s="4">
        <f t="shared" ref="C11:J11" si="6">+C10+C9+C8</f>
        <v>21779.588</v>
      </c>
      <c r="D11" s="4">
        <f t="shared" si="6"/>
        <v>19582.746999999999</v>
      </c>
      <c r="E11" s="4">
        <f t="shared" si="6"/>
        <v>20872.197</v>
      </c>
      <c r="F11" s="4">
        <f t="shared" si="6"/>
        <v>25354.116999999998</v>
      </c>
      <c r="G11" s="4">
        <f t="shared" si="6"/>
        <v>31407.796000000002</v>
      </c>
      <c r="H11" s="4">
        <f t="shared" si="6"/>
        <v>28143.719999999998</v>
      </c>
      <c r="I11" s="4">
        <f t="shared" si="6"/>
        <v>30796.896999999997</v>
      </c>
      <c r="J11" s="4">
        <f t="shared" si="6"/>
        <v>35352.728999999999</v>
      </c>
      <c r="K11" s="4">
        <f t="shared" ref="K11:O11" si="7">+K10+K9+K8</f>
        <v>32978.185800000007</v>
      </c>
      <c r="L11" s="4">
        <f t="shared" si="7"/>
        <v>29550.906000000003</v>
      </c>
      <c r="M11" s="4">
        <f t="shared" si="7"/>
        <v>32336.741850000002</v>
      </c>
      <c r="N11" s="4">
        <f t="shared" si="7"/>
        <v>37120.365450000005</v>
      </c>
      <c r="O11" s="4">
        <f t="shared" si="7"/>
        <v>34627.095090000003</v>
      </c>
    </row>
    <row r="12" spans="1:15" s="3" customFormat="1" x14ac:dyDescent="0.2">
      <c r="B12" s="3" t="s">
        <v>22</v>
      </c>
      <c r="C12" s="4">
        <f t="shared" ref="C12:J12" si="8">+C7-C11</f>
        <v>9113.7350000000042</v>
      </c>
      <c r="D12" s="4">
        <f t="shared" si="8"/>
        <v>6929.0180000000037</v>
      </c>
      <c r="E12" s="4">
        <f t="shared" si="8"/>
        <v>12718.763999999996</v>
      </c>
      <c r="F12" s="4">
        <f t="shared" si="8"/>
        <v>16656.021000000001</v>
      </c>
      <c r="G12" s="4">
        <f t="shared" si="8"/>
        <v>22394.967999999993</v>
      </c>
      <c r="H12" s="4">
        <f t="shared" si="8"/>
        <v>25973.652999999995</v>
      </c>
      <c r="I12" s="4">
        <f t="shared" si="8"/>
        <v>32564.536000000007</v>
      </c>
      <c r="J12" s="4">
        <f t="shared" si="8"/>
        <v>24292.457999999999</v>
      </c>
      <c r="K12" s="4">
        <f t="shared" ref="K12:O12" si="9">+K7-K11</f>
        <v>36349.02227999999</v>
      </c>
      <c r="L12" s="4">
        <f t="shared" si="9"/>
        <v>32953.776479999993</v>
      </c>
      <c r="M12" s="4">
        <f t="shared" si="9"/>
        <v>31722.548610000002</v>
      </c>
      <c r="N12" s="4">
        <f t="shared" si="9"/>
        <v>28453.539209999995</v>
      </c>
      <c r="O12" s="4">
        <f t="shared" si="9"/>
        <v>41632.833798000007</v>
      </c>
    </row>
    <row r="13" spans="1:15" s="3" customFormat="1" x14ac:dyDescent="0.2">
      <c r="B13" s="3" t="s">
        <v>31</v>
      </c>
      <c r="C13" s="4">
        <f>1351.698+168.825</f>
        <v>1520.5230000000001</v>
      </c>
      <c r="D13" s="4">
        <f>1463.599+1227.52</f>
        <v>2691.1189999999997</v>
      </c>
      <c r="E13" s="4">
        <f>2287.741+1106.471</f>
        <v>3394.212</v>
      </c>
      <c r="F13" s="4">
        <f>2127.356+290.384</f>
        <v>2417.7400000000002</v>
      </c>
      <c r="G13" s="4">
        <f>4359.384+0.328204</f>
        <v>4359.7122040000004</v>
      </c>
      <c r="H13" s="4">
        <f>5048.589+1881.248</f>
        <v>6929.8369999999995</v>
      </c>
      <c r="I13" s="4">
        <f>4855.592+493.258</f>
        <v>5348.8499999999995</v>
      </c>
      <c r="J13" s="4">
        <f>5416.08+0.018606</f>
        <v>5416.0986059999996</v>
      </c>
      <c r="K13" s="4">
        <f>+J13</f>
        <v>5416.0986059999996</v>
      </c>
      <c r="L13" s="4">
        <f>+K13</f>
        <v>5416.0986059999996</v>
      </c>
      <c r="M13" s="4">
        <f>+L13</f>
        <v>5416.0986059999996</v>
      </c>
      <c r="N13" s="4">
        <f>+M13</f>
        <v>5416.0986059999996</v>
      </c>
      <c r="O13" s="4">
        <f>+N13</f>
        <v>5416.0986059999996</v>
      </c>
    </row>
    <row r="14" spans="1:15" s="3" customFormat="1" x14ac:dyDescent="0.2">
      <c r="B14" s="3" t="s">
        <v>30</v>
      </c>
      <c r="C14" s="4">
        <f t="shared" ref="C14:J14" si="10">+C12+C13</f>
        <v>10634.258000000005</v>
      </c>
      <c r="D14" s="4">
        <f t="shared" si="10"/>
        <v>9620.1370000000024</v>
      </c>
      <c r="E14" s="4">
        <f t="shared" si="10"/>
        <v>16112.975999999995</v>
      </c>
      <c r="F14" s="4">
        <f t="shared" si="10"/>
        <v>19073.761000000002</v>
      </c>
      <c r="G14" s="4">
        <f t="shared" si="10"/>
        <v>26754.680203999993</v>
      </c>
      <c r="H14" s="4">
        <f t="shared" si="10"/>
        <v>32903.489999999991</v>
      </c>
      <c r="I14" s="4">
        <f t="shared" si="10"/>
        <v>37913.386000000006</v>
      </c>
      <c r="J14" s="4">
        <f t="shared" si="10"/>
        <v>29708.556605999998</v>
      </c>
      <c r="K14" s="4">
        <f t="shared" ref="K14:O14" si="11">+K12+K13</f>
        <v>41765.12088599999</v>
      </c>
      <c r="L14" s="4">
        <f t="shared" si="11"/>
        <v>38369.875085999993</v>
      </c>
      <c r="M14" s="4">
        <f t="shared" si="11"/>
        <v>37138.647215999998</v>
      </c>
      <c r="N14" s="4">
        <f t="shared" si="11"/>
        <v>33869.637815999995</v>
      </c>
      <c r="O14" s="4">
        <f t="shared" si="11"/>
        <v>47048.932404000006</v>
      </c>
    </row>
    <row r="15" spans="1:15" s="3" customFormat="1" x14ac:dyDescent="0.2">
      <c r="B15" s="3" t="s">
        <v>29</v>
      </c>
      <c r="C15" s="4">
        <v>1065.6130000000001</v>
      </c>
      <c r="D15" s="4">
        <v>1597.7750000000001</v>
      </c>
      <c r="E15" s="4">
        <v>3158.442</v>
      </c>
      <c r="F15" s="4">
        <v>3513.48</v>
      </c>
      <c r="G15" s="4">
        <v>3580.2069999999999</v>
      </c>
      <c r="H15" s="4">
        <v>5067.7520000000004</v>
      </c>
      <c r="I15" s="4">
        <v>5914.6130000000003</v>
      </c>
      <c r="J15" s="4">
        <v>4201.62</v>
      </c>
      <c r="K15" s="4">
        <f>+K14*0.2</f>
        <v>8353.024177199999</v>
      </c>
      <c r="L15" s="4">
        <f>+L14*0.2</f>
        <v>7673.9750171999985</v>
      </c>
      <c r="M15" s="4">
        <f>+M14*0.2</f>
        <v>7427.7294431999999</v>
      </c>
      <c r="N15" s="4">
        <f>+N14*0.2</f>
        <v>6773.927563199999</v>
      </c>
      <c r="O15" s="4">
        <f>+O14*0.2</f>
        <v>9409.7864808000013</v>
      </c>
    </row>
    <row r="16" spans="1:15" s="3" customFormat="1" x14ac:dyDescent="0.2">
      <c r="B16" s="3" t="s">
        <v>28</v>
      </c>
      <c r="C16" s="4">
        <f t="shared" ref="C16:J16" si="12">+C14-C15</f>
        <v>9568.6450000000059</v>
      </c>
      <c r="D16" s="4">
        <f t="shared" si="12"/>
        <v>8022.3620000000028</v>
      </c>
      <c r="E16" s="4">
        <f t="shared" si="12"/>
        <v>12954.533999999996</v>
      </c>
      <c r="F16" s="4">
        <f t="shared" si="12"/>
        <v>15560.281000000003</v>
      </c>
      <c r="G16" s="4">
        <f t="shared" si="12"/>
        <v>23174.473203999994</v>
      </c>
      <c r="H16" s="4">
        <f t="shared" si="12"/>
        <v>27835.73799999999</v>
      </c>
      <c r="I16" s="4">
        <f t="shared" si="12"/>
        <v>31998.773000000005</v>
      </c>
      <c r="J16" s="4">
        <f t="shared" si="12"/>
        <v>25506.936605999999</v>
      </c>
      <c r="K16" s="4">
        <f t="shared" ref="K16:O16" si="13">+K14-K15</f>
        <v>33412.096708799989</v>
      </c>
      <c r="L16" s="4">
        <f t="shared" si="13"/>
        <v>30695.900068799994</v>
      </c>
      <c r="M16" s="4">
        <f t="shared" si="13"/>
        <v>29710.9177728</v>
      </c>
      <c r="N16" s="4">
        <f t="shared" si="13"/>
        <v>27095.710252799996</v>
      </c>
      <c r="O16" s="4">
        <f t="shared" si="13"/>
        <v>37639.145923200005</v>
      </c>
    </row>
    <row r="17" spans="2:15" x14ac:dyDescent="0.2">
      <c r="B17" s="1" t="s">
        <v>32</v>
      </c>
      <c r="C17" s="5">
        <f t="shared" ref="C17:J17" si="14">+C16/C18</f>
        <v>1.6471502503265512</v>
      </c>
      <c r="D17" s="5">
        <f t="shared" si="14"/>
        <v>1.3712553274335442</v>
      </c>
      <c r="E17" s="5">
        <f t="shared" si="14"/>
        <v>2.2207716734883634</v>
      </c>
      <c r="F17" s="5">
        <f t="shared" si="14"/>
        <v>2.6530281996800742</v>
      </c>
      <c r="G17" s="5">
        <f t="shared" si="14"/>
        <v>3.9392405216403925</v>
      </c>
      <c r="H17" s="5">
        <f t="shared" si="14"/>
        <v>4.7123140412062172</v>
      </c>
      <c r="I17" s="5">
        <f t="shared" si="14"/>
        <v>5.4000361816297575</v>
      </c>
      <c r="J17" s="5">
        <f t="shared" si="14"/>
        <v>4.31604568992518</v>
      </c>
      <c r="K17" s="5">
        <f t="shared" ref="K17:O17" si="15">+K16/K18</f>
        <v>5.6536830831130622</v>
      </c>
      <c r="L17" s="5">
        <f t="shared" si="15"/>
        <v>5.1940736450159921</v>
      </c>
      <c r="M17" s="5">
        <f t="shared" si="15"/>
        <v>5.0274041362870072</v>
      </c>
      <c r="N17" s="5">
        <f t="shared" si="15"/>
        <v>4.5848831342823679</v>
      </c>
      <c r="O17" s="5">
        <f t="shared" si="15"/>
        <v>6.3689448891357117</v>
      </c>
    </row>
    <row r="18" spans="2:15" s="3" customFormat="1" x14ac:dyDescent="0.2">
      <c r="B18" s="3" t="s">
        <v>1</v>
      </c>
      <c r="C18" s="4">
        <v>5809.2120000000004</v>
      </c>
      <c r="D18" s="4">
        <v>5850.3779999999997</v>
      </c>
      <c r="E18" s="4">
        <v>5833.348</v>
      </c>
      <c r="F18" s="4">
        <v>5865.1019999999999</v>
      </c>
      <c r="G18" s="4">
        <v>5882.98</v>
      </c>
      <c r="H18" s="4">
        <v>5907.0209999999997</v>
      </c>
      <c r="I18" s="4">
        <v>5925.6589999999997</v>
      </c>
      <c r="J18" s="4">
        <v>5909.7929999999997</v>
      </c>
      <c r="K18" s="4">
        <f>+J18</f>
        <v>5909.7929999999997</v>
      </c>
      <c r="L18" s="4">
        <f>+K18</f>
        <v>5909.7929999999997</v>
      </c>
      <c r="M18" s="4">
        <f>+L18</f>
        <v>5909.7929999999997</v>
      </c>
      <c r="N18" s="4">
        <f>+M18</f>
        <v>5909.7929999999997</v>
      </c>
      <c r="O18" s="4">
        <f>+N18</f>
        <v>5909.7929999999997</v>
      </c>
    </row>
    <row r="20" spans="2:15" x14ac:dyDescent="0.2">
      <c r="B20" s="1" t="s">
        <v>33</v>
      </c>
      <c r="G20" s="8">
        <f>+G5/C5-1</f>
        <v>1.2320686464610215</v>
      </c>
      <c r="H20" s="8">
        <f>+H5/D5-1</f>
        <v>1.3065585373986535</v>
      </c>
      <c r="I20" s="8">
        <f>+I5/E5-1</f>
        <v>0.85650616552004966</v>
      </c>
      <c r="J20" s="8">
        <f>+J5/F5-1</f>
        <v>0.44325777965374424</v>
      </c>
      <c r="K20" s="8">
        <f t="shared" ref="K20:O20" si="16">+K5/G5-1</f>
        <v>0.30000000000000004</v>
      </c>
      <c r="L20" s="8">
        <f t="shared" si="16"/>
        <v>0.19999999999999996</v>
      </c>
      <c r="M20" s="8">
        <f t="shared" si="16"/>
        <v>0.10000000000000009</v>
      </c>
      <c r="N20" s="8">
        <f t="shared" si="16"/>
        <v>0.10000000000000009</v>
      </c>
      <c r="O20" s="8">
        <f t="shared" si="16"/>
        <v>0.10000000000000009</v>
      </c>
    </row>
    <row r="21" spans="2:15" x14ac:dyDescent="0.2">
      <c r="B21" s="1" t="s">
        <v>34</v>
      </c>
      <c r="C21" s="8">
        <f t="shared" ref="C21:J21" si="17">+C7/C5</f>
        <v>0.77582373874774768</v>
      </c>
      <c r="D21" s="8">
        <f t="shared" si="17"/>
        <v>0.70440603075958397</v>
      </c>
      <c r="E21" s="8">
        <f t="shared" si="17"/>
        <v>0.64251110179219306</v>
      </c>
      <c r="F21" s="8">
        <f t="shared" si="17"/>
        <v>0.61025438111017738</v>
      </c>
      <c r="G21" s="8">
        <f t="shared" si="17"/>
        <v>0.60533457328287665</v>
      </c>
      <c r="H21" s="8">
        <f t="shared" si="17"/>
        <v>0.62338543312283368</v>
      </c>
      <c r="I21" s="8">
        <f t="shared" si="17"/>
        <v>0.65281000585094529</v>
      </c>
      <c r="J21" s="8">
        <f t="shared" si="17"/>
        <v>0.60032757884575239</v>
      </c>
      <c r="K21" s="8">
        <f t="shared" ref="K21:O21" si="18">+K7/K5</f>
        <v>0.6</v>
      </c>
      <c r="L21" s="8">
        <f t="shared" si="18"/>
        <v>0.6</v>
      </c>
      <c r="M21" s="8">
        <f t="shared" si="18"/>
        <v>0.6</v>
      </c>
      <c r="N21" s="8">
        <f t="shared" si="18"/>
        <v>0.6</v>
      </c>
      <c r="O21" s="8">
        <f t="shared" si="18"/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2025-03-13T19:26:11Z</dcterms:created>
  <dcterms:modified xsi:type="dcterms:W3CDTF">2025-10-14T23:37:36Z</dcterms:modified>
</cp:coreProperties>
</file>