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aben\Downloads\"/>
    </mc:Choice>
  </mc:AlternateContent>
  <xr:revisionPtr revIDLastSave="0" documentId="8_{D798E001-09B4-42D9-BF15-F4809AAB2722}" xr6:coauthVersionLast="47" xr6:coauthVersionMax="47" xr10:uidLastSave="{00000000-0000-0000-0000-000000000000}"/>
  <bookViews>
    <workbookView xWindow="17445" yWindow="4320" windowWidth="18075" windowHeight="16020" activeTab="1" xr2:uid="{1F39B899-BCCD-45D4-944D-9521F6C1B47E}"/>
  </bookViews>
  <sheets>
    <sheet name="Main" sheetId="1" r:id="rId1"/>
    <sheet name="Model" sheetId="2" r:id="rId2"/>
    <sheet name="KL133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15" i="2" l="1"/>
  <c r="U11" i="2"/>
  <c r="U10" i="2"/>
  <c r="U9" i="2"/>
  <c r="U8" i="2"/>
  <c r="U6" i="2"/>
  <c r="U4" i="2"/>
  <c r="U3" i="2"/>
  <c r="U5" i="2" s="1"/>
  <c r="U7" i="2" s="1"/>
  <c r="W13" i="2"/>
  <c r="W8" i="2"/>
  <c r="V4" i="2"/>
  <c r="R10" i="2"/>
  <c r="Q10" i="2"/>
  <c r="P10" i="2"/>
  <c r="O10" i="2"/>
  <c r="W10" i="2" s="1"/>
  <c r="R9" i="2"/>
  <c r="R11" i="2" s="1"/>
  <c r="Q9" i="2"/>
  <c r="Q11" i="2" s="1"/>
  <c r="P9" i="2"/>
  <c r="P11" i="2" s="1"/>
  <c r="O9" i="2"/>
  <c r="W9" i="2" s="1"/>
  <c r="N20" i="2"/>
  <c r="G20" i="2"/>
  <c r="R4" i="2"/>
  <c r="Q4" i="2"/>
  <c r="P4" i="2"/>
  <c r="O3" i="2"/>
  <c r="N13" i="2"/>
  <c r="N11" i="2"/>
  <c r="X13" i="2"/>
  <c r="X8" i="2"/>
  <c r="Y8" i="2" s="1"/>
  <c r="Z8" i="2" s="1"/>
  <c r="AA8" i="2" s="1"/>
  <c r="AB8" i="2" s="1"/>
  <c r="AC8" i="2" s="1"/>
  <c r="AD8" i="2" s="1"/>
  <c r="AE8" i="2" s="1"/>
  <c r="AF8" i="2" s="1"/>
  <c r="AG8" i="2" s="1"/>
  <c r="V9" i="2"/>
  <c r="V10" i="2"/>
  <c r="N5" i="2"/>
  <c r="N7" i="2" s="1"/>
  <c r="W2" i="2"/>
  <c r="X2" i="2" s="1"/>
  <c r="Y2" i="2" s="1"/>
  <c r="Z2" i="2" s="1"/>
  <c r="AA2" i="2" s="1"/>
  <c r="AB2" i="2" s="1"/>
  <c r="AC2" i="2" s="1"/>
  <c r="AD2" i="2" s="1"/>
  <c r="AE2" i="2" s="1"/>
  <c r="AF2" i="2" s="1"/>
  <c r="AG2" i="2" s="1"/>
  <c r="F13" i="2"/>
  <c r="F5" i="2"/>
  <c r="J13" i="2"/>
  <c r="G13" i="2"/>
  <c r="U13" i="2" s="1"/>
  <c r="G5" i="2"/>
  <c r="G7" i="2" s="1"/>
  <c r="K13" i="2"/>
  <c r="L13" i="2"/>
  <c r="H13" i="2"/>
  <c r="I11" i="2"/>
  <c r="L7" i="2"/>
  <c r="L20" i="2" s="1"/>
  <c r="H5" i="2"/>
  <c r="H7" i="2" s="1"/>
  <c r="H20" i="2" s="1"/>
  <c r="L22" i="2"/>
  <c r="N22" i="2" s="1"/>
  <c r="I13" i="2"/>
  <c r="M13" i="2"/>
  <c r="I5" i="2"/>
  <c r="I7" i="2" s="1"/>
  <c r="I20" i="2" s="1"/>
  <c r="J5" i="2"/>
  <c r="J7" i="2" s="1"/>
  <c r="J20" i="2" s="1"/>
  <c r="L11" i="2"/>
  <c r="L12" i="2" s="1"/>
  <c r="K11" i="2"/>
  <c r="J11" i="2"/>
  <c r="H11" i="2"/>
  <c r="G11" i="2"/>
  <c r="F11" i="2"/>
  <c r="E11" i="2"/>
  <c r="E12" i="2" s="1"/>
  <c r="D11" i="2"/>
  <c r="D12" i="2" s="1"/>
  <c r="C11" i="2"/>
  <c r="C12" i="2" s="1"/>
  <c r="M11" i="2"/>
  <c r="K3" i="2"/>
  <c r="V3" i="2" s="1"/>
  <c r="K4" i="2"/>
  <c r="M5" i="2"/>
  <c r="L5" i="2"/>
  <c r="M4" i="1"/>
  <c r="O11" i="2" l="1"/>
  <c r="U12" i="2"/>
  <c r="U14" i="2" s="1"/>
  <c r="U16" i="2" s="1"/>
  <c r="L19" i="2"/>
  <c r="J19" i="2"/>
  <c r="M19" i="2"/>
  <c r="N12" i="2"/>
  <c r="N14" i="2" s="1"/>
  <c r="N16" i="2" s="1"/>
  <c r="X10" i="2"/>
  <c r="Y10" i="2" s="1"/>
  <c r="Z10" i="2" s="1"/>
  <c r="AA10" i="2" s="1"/>
  <c r="AB10" i="2" s="1"/>
  <c r="AC10" i="2" s="1"/>
  <c r="AD10" i="2" s="1"/>
  <c r="AE10" i="2" s="1"/>
  <c r="AF10" i="2" s="1"/>
  <c r="AG10" i="2" s="1"/>
  <c r="G12" i="2"/>
  <c r="G14" i="2" s="1"/>
  <c r="G16" i="2" s="1"/>
  <c r="M7" i="2"/>
  <c r="F7" i="2"/>
  <c r="F20" i="2" s="1"/>
  <c r="O4" i="2"/>
  <c r="N19" i="2"/>
  <c r="K5" i="2"/>
  <c r="P3" i="2"/>
  <c r="F12" i="2"/>
  <c r="F14" i="2" s="1"/>
  <c r="F16" i="2" s="1"/>
  <c r="H12" i="2"/>
  <c r="H14" i="2" s="1"/>
  <c r="H16" i="2" s="1"/>
  <c r="J12" i="2"/>
  <c r="X9" i="2"/>
  <c r="W11" i="2"/>
  <c r="V11" i="2"/>
  <c r="Y13" i="2"/>
  <c r="J14" i="2"/>
  <c r="J16" i="2" s="1"/>
  <c r="L14" i="2"/>
  <c r="L16" i="2" s="1"/>
  <c r="M7" i="1"/>
  <c r="I12" i="2"/>
  <c r="I14" i="2" s="1"/>
  <c r="I16" i="2" s="1"/>
  <c r="V5" i="2"/>
  <c r="O5" i="2" l="1"/>
  <c r="W4" i="2"/>
  <c r="X4" i="2" s="1"/>
  <c r="M12" i="2"/>
  <c r="M14" i="2" s="1"/>
  <c r="M16" i="2" s="1"/>
  <c r="M20" i="2"/>
  <c r="P5" i="2"/>
  <c r="Q3" i="2"/>
  <c r="K7" i="2"/>
  <c r="K19" i="2"/>
  <c r="Y9" i="2"/>
  <c r="X11" i="2"/>
  <c r="V6" i="2"/>
  <c r="V7" i="2" s="1"/>
  <c r="Y4" i="2"/>
  <c r="Z13" i="2"/>
  <c r="K12" i="2" l="1"/>
  <c r="K14" i="2" s="1"/>
  <c r="K16" i="2" s="1"/>
  <c r="K20" i="2"/>
  <c r="P19" i="2"/>
  <c r="P7" i="2"/>
  <c r="P6" i="2"/>
  <c r="O19" i="2"/>
  <c r="O7" i="2"/>
  <c r="O6" i="2"/>
  <c r="V12" i="2"/>
  <c r="V14" i="2" s="1"/>
  <c r="V15" i="2" s="1"/>
  <c r="V16" i="2" s="1"/>
  <c r="V20" i="2"/>
  <c r="R3" i="2"/>
  <c r="R5" i="2" s="1"/>
  <c r="Q5" i="2"/>
  <c r="Z9" i="2"/>
  <c r="Y11" i="2"/>
  <c r="Z4" i="2"/>
  <c r="AA13" i="2"/>
  <c r="Q19" i="2" l="1"/>
  <c r="Q7" i="2"/>
  <c r="R19" i="2"/>
  <c r="R7" i="2"/>
  <c r="O20" i="2"/>
  <c r="O12" i="2"/>
  <c r="O14" i="2" s="1"/>
  <c r="P20" i="2"/>
  <c r="P12" i="2"/>
  <c r="P14" i="2" s="1"/>
  <c r="W3" i="2"/>
  <c r="AA9" i="2"/>
  <c r="Z11" i="2"/>
  <c r="AA4" i="2"/>
  <c r="AB13" i="2"/>
  <c r="W5" i="2" l="1"/>
  <c r="X3" i="2"/>
  <c r="P15" i="2"/>
  <c r="P16" i="2" s="1"/>
  <c r="R20" i="2"/>
  <c r="R12" i="2"/>
  <c r="R14" i="2" s="1"/>
  <c r="Q20" i="2"/>
  <c r="Q12" i="2"/>
  <c r="Q14" i="2" s="1"/>
  <c r="O15" i="2"/>
  <c r="O16" i="2" s="1"/>
  <c r="R6" i="2"/>
  <c r="Q6" i="2"/>
  <c r="W6" i="2" s="1"/>
  <c r="AB9" i="2"/>
  <c r="AA11" i="2"/>
  <c r="AB4" i="2"/>
  <c r="AC13" i="2"/>
  <c r="Q15" i="2" l="1"/>
  <c r="W15" i="2" s="1"/>
  <c r="R15" i="2"/>
  <c r="R16" i="2" s="1"/>
  <c r="Y3" i="2"/>
  <c r="X5" i="2"/>
  <c r="W19" i="2"/>
  <c r="W7" i="2"/>
  <c r="AC9" i="2"/>
  <c r="AB11" i="2"/>
  <c r="AC4" i="2"/>
  <c r="AD13" i="2"/>
  <c r="X6" i="2" l="1"/>
  <c r="X7" i="2" s="1"/>
  <c r="X19" i="2"/>
  <c r="W12" i="2"/>
  <c r="W14" i="2" s="1"/>
  <c r="W16" i="2" s="1"/>
  <c r="W20" i="2"/>
  <c r="Z3" i="2"/>
  <c r="Y5" i="2"/>
  <c r="Q16" i="2"/>
  <c r="AD9" i="2"/>
  <c r="AC11" i="2"/>
  <c r="AD4" i="2"/>
  <c r="AE13" i="2"/>
  <c r="Y6" i="2" l="1"/>
  <c r="Y7" i="2" s="1"/>
  <c r="Y19" i="2"/>
  <c r="AA3" i="2"/>
  <c r="Z5" i="2"/>
  <c r="X12" i="2"/>
  <c r="X14" i="2" s="1"/>
  <c r="X15" i="2" s="1"/>
  <c r="X16" i="2" s="1"/>
  <c r="X20" i="2"/>
  <c r="AE9" i="2"/>
  <c r="AD11" i="2"/>
  <c r="AE4" i="2"/>
  <c r="AF13" i="2"/>
  <c r="Z19" i="2" l="1"/>
  <c r="Z6" i="2"/>
  <c r="Z7" i="2" s="1"/>
  <c r="AB3" i="2"/>
  <c r="AA5" i="2"/>
  <c r="Y12" i="2"/>
  <c r="Y14" i="2" s="1"/>
  <c r="Y15" i="2" s="1"/>
  <c r="Y16" i="2" s="1"/>
  <c r="Y20" i="2"/>
  <c r="AF9" i="2"/>
  <c r="AE11" i="2"/>
  <c r="AF4" i="2"/>
  <c r="AG13" i="2"/>
  <c r="AA6" i="2" l="1"/>
  <c r="AA7" i="2" s="1"/>
  <c r="AA19" i="2"/>
  <c r="AC3" i="2"/>
  <c r="AB5" i="2"/>
  <c r="Z12" i="2"/>
  <c r="Z14" i="2" s="1"/>
  <c r="Z15" i="2" s="1"/>
  <c r="Z16" i="2" s="1"/>
  <c r="Z20" i="2"/>
  <c r="AG9" i="2"/>
  <c r="AG11" i="2" s="1"/>
  <c r="AF11" i="2"/>
  <c r="AG4" i="2"/>
  <c r="AB6" i="2" l="1"/>
  <c r="AB7" i="2" s="1"/>
  <c r="AB19" i="2"/>
  <c r="AD3" i="2"/>
  <c r="AC5" i="2"/>
  <c r="AA12" i="2"/>
  <c r="AA14" i="2" s="1"/>
  <c r="AA15" i="2" s="1"/>
  <c r="AA16" i="2" s="1"/>
  <c r="AA20" i="2"/>
  <c r="AC19" i="2" l="1"/>
  <c r="AC6" i="2"/>
  <c r="AC7" i="2" s="1"/>
  <c r="AE3" i="2"/>
  <c r="AD5" i="2"/>
  <c r="AB20" i="2"/>
  <c r="AB12" i="2"/>
  <c r="AB14" i="2" s="1"/>
  <c r="AB15" i="2" l="1"/>
  <c r="AB16" i="2"/>
  <c r="AD6" i="2"/>
  <c r="AD7" i="2" s="1"/>
  <c r="AD19" i="2"/>
  <c r="AF3" i="2"/>
  <c r="AE5" i="2"/>
  <c r="AC12" i="2"/>
  <c r="AC14" i="2" s="1"/>
  <c r="AC15" i="2" s="1"/>
  <c r="AC16" i="2" s="1"/>
  <c r="AC20" i="2"/>
  <c r="AE6" i="2" l="1"/>
  <c r="AE7" i="2" s="1"/>
  <c r="AE19" i="2"/>
  <c r="AG3" i="2"/>
  <c r="AG5" i="2" s="1"/>
  <c r="AF5" i="2"/>
  <c r="AD12" i="2"/>
  <c r="AD14" i="2" s="1"/>
  <c r="AD15" i="2" s="1"/>
  <c r="AD16" i="2" s="1"/>
  <c r="AD20" i="2"/>
  <c r="AF6" i="2" l="1"/>
  <c r="AF7" i="2" s="1"/>
  <c r="AF19" i="2"/>
  <c r="AG6" i="2"/>
  <c r="AG7" i="2" s="1"/>
  <c r="AG19" i="2"/>
  <c r="AE12" i="2"/>
  <c r="AE14" i="2" s="1"/>
  <c r="AE15" i="2" s="1"/>
  <c r="AE16" i="2" s="1"/>
  <c r="AE20" i="2"/>
  <c r="AG12" i="2" l="1"/>
  <c r="AG14" i="2" s="1"/>
  <c r="AG15" i="2" s="1"/>
  <c r="AG16" i="2" s="1"/>
  <c r="AH16" i="2" s="1"/>
  <c r="AI16" i="2" s="1"/>
  <c r="AJ16" i="2" s="1"/>
  <c r="AK16" i="2" s="1"/>
  <c r="AL16" i="2" s="1"/>
  <c r="AM16" i="2" s="1"/>
  <c r="AN16" i="2" s="1"/>
  <c r="AO16" i="2" s="1"/>
  <c r="AP16" i="2" s="1"/>
  <c r="AQ16" i="2" s="1"/>
  <c r="AR16" i="2" s="1"/>
  <c r="AS16" i="2" s="1"/>
  <c r="AT16" i="2" s="1"/>
  <c r="AU16" i="2" s="1"/>
  <c r="AV16" i="2" s="1"/>
  <c r="AW16" i="2" s="1"/>
  <c r="AX16" i="2" s="1"/>
  <c r="AY16" i="2" s="1"/>
  <c r="AZ16" i="2" s="1"/>
  <c r="BA16" i="2" s="1"/>
  <c r="BB16" i="2" s="1"/>
  <c r="BC16" i="2" s="1"/>
  <c r="BD16" i="2" s="1"/>
  <c r="BE16" i="2" s="1"/>
  <c r="BF16" i="2" s="1"/>
  <c r="BG16" i="2" s="1"/>
  <c r="BH16" i="2" s="1"/>
  <c r="BI16" i="2" s="1"/>
  <c r="BJ16" i="2" s="1"/>
  <c r="BK16" i="2" s="1"/>
  <c r="BL16" i="2" s="1"/>
  <c r="BM16" i="2" s="1"/>
  <c r="BN16" i="2" s="1"/>
  <c r="BO16" i="2" s="1"/>
  <c r="BP16" i="2" s="1"/>
  <c r="BQ16" i="2" s="1"/>
  <c r="BR16" i="2" s="1"/>
  <c r="BS16" i="2" s="1"/>
  <c r="BT16" i="2" s="1"/>
  <c r="BU16" i="2" s="1"/>
  <c r="BV16" i="2" s="1"/>
  <c r="BW16" i="2" s="1"/>
  <c r="BX16" i="2" s="1"/>
  <c r="BY16" i="2" s="1"/>
  <c r="BZ16" i="2" s="1"/>
  <c r="CA16" i="2" s="1"/>
  <c r="CB16" i="2" s="1"/>
  <c r="CC16" i="2" s="1"/>
  <c r="CD16" i="2" s="1"/>
  <c r="CE16" i="2" s="1"/>
  <c r="CF16" i="2" s="1"/>
  <c r="CG16" i="2" s="1"/>
  <c r="CH16" i="2" s="1"/>
  <c r="CI16" i="2" s="1"/>
  <c r="CJ16" i="2" s="1"/>
  <c r="CK16" i="2" s="1"/>
  <c r="CL16" i="2" s="1"/>
  <c r="CM16" i="2" s="1"/>
  <c r="CN16" i="2" s="1"/>
  <c r="CO16" i="2" s="1"/>
  <c r="CP16" i="2" s="1"/>
  <c r="CQ16" i="2" s="1"/>
  <c r="CR16" i="2" s="1"/>
  <c r="CS16" i="2" s="1"/>
  <c r="CT16" i="2" s="1"/>
  <c r="CU16" i="2" s="1"/>
  <c r="CV16" i="2" s="1"/>
  <c r="CW16" i="2" s="1"/>
  <c r="CX16" i="2" s="1"/>
  <c r="CY16" i="2" s="1"/>
  <c r="CZ16" i="2" s="1"/>
  <c r="DA16" i="2" s="1"/>
  <c r="AG20" i="2"/>
  <c r="AF12" i="2"/>
  <c r="AF14" i="2" s="1"/>
  <c r="AF15" i="2" s="1"/>
  <c r="AF16" i="2" s="1"/>
  <c r="AF20" i="2"/>
  <c r="AJ21" i="2" l="1"/>
</calcChain>
</file>

<file path=xl/sharedStrings.xml><?xml version="1.0" encoding="utf-8"?>
<sst xmlns="http://schemas.openxmlformats.org/spreadsheetml/2006/main" count="66" uniqueCount="61">
  <si>
    <t>Price</t>
  </si>
  <si>
    <t>Shares</t>
  </si>
  <si>
    <t>MC</t>
  </si>
  <si>
    <t>Cash</t>
  </si>
  <si>
    <t>Debt</t>
  </si>
  <si>
    <t>EV</t>
  </si>
  <si>
    <t>Name</t>
  </si>
  <si>
    <t>Ruconest</t>
  </si>
  <si>
    <t>Joenja (leniolisib)</t>
  </si>
  <si>
    <t>Ruconest (conestat)</t>
  </si>
  <si>
    <t>Indication</t>
  </si>
  <si>
    <t>HAE</t>
  </si>
  <si>
    <t>APDS</t>
  </si>
  <si>
    <t>Main</t>
  </si>
  <si>
    <t>Joenja</t>
  </si>
  <si>
    <t>Q122</t>
  </si>
  <si>
    <t>Q222</t>
  </si>
  <si>
    <t>Q322</t>
  </si>
  <si>
    <t>Q422</t>
  </si>
  <si>
    <t>Q123</t>
  </si>
  <si>
    <t>Q223</t>
  </si>
  <si>
    <t>Q323</t>
  </si>
  <si>
    <t>Q423</t>
  </si>
  <si>
    <t>Q124</t>
  </si>
  <si>
    <t>Q224</t>
  </si>
  <si>
    <t>Q324</t>
  </si>
  <si>
    <t>Q424</t>
  </si>
  <si>
    <t>Revenue</t>
  </si>
  <si>
    <t>CEO: Sijmen de Vries</t>
  </si>
  <si>
    <t>Operating Income</t>
  </si>
  <si>
    <t>Operating Expenses</t>
  </si>
  <si>
    <t>COGS</t>
  </si>
  <si>
    <t>Gross Profit</t>
  </si>
  <si>
    <t>S&amp;M</t>
  </si>
  <si>
    <t>G&amp;A</t>
  </si>
  <si>
    <t>R&amp;D</t>
  </si>
  <si>
    <t>Net Income</t>
  </si>
  <si>
    <t>Taxes</t>
  </si>
  <si>
    <t>Pretax Income</t>
  </si>
  <si>
    <t>Interest Income</t>
  </si>
  <si>
    <t>CFFO</t>
  </si>
  <si>
    <t>$USD</t>
  </si>
  <si>
    <t>Revenue y/y</t>
  </si>
  <si>
    <t>Maturity</t>
  </si>
  <si>
    <t>Discount</t>
  </si>
  <si>
    <t>NPV</t>
  </si>
  <si>
    <t>Q125</t>
  </si>
  <si>
    <t>Q225</t>
  </si>
  <si>
    <t>Q325</t>
  </si>
  <si>
    <t>Q425</t>
  </si>
  <si>
    <t>KL1333</t>
  </si>
  <si>
    <t>PMD</t>
  </si>
  <si>
    <t>Phase</t>
  </si>
  <si>
    <t>II</t>
  </si>
  <si>
    <t>Approval</t>
  </si>
  <si>
    <t>Gross Margin</t>
  </si>
  <si>
    <t>Economics</t>
  </si>
  <si>
    <t>Brand</t>
  </si>
  <si>
    <t>Clinical Trials</t>
  </si>
  <si>
    <t>Phase II n=180</t>
  </si>
  <si>
    <t>data 2027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</si>
</sst>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#,##0.0"/>
  </numFmts>
  <fonts count="4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7">
    <xf numFmtId="0" fontId="0" fillId="0" borderId="0" xfId="0"/>
    <xf numFmtId="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Alignment="1">
      <alignment horizontal="right"/>
    </xf>
    <xf numFmtId="3" fontId="0" fillId="0" borderId="0" xfId="0" applyNumberFormat="1"/>
    <xf numFmtId="0" fontId="1" fillId="0" borderId="0" xfId="0" applyFont="1"/>
    <xf numFmtId="0" fontId="1" fillId="0" borderId="0" xfId="0" applyFont="1" applyAlignment="1">
      <alignment horizontal="right"/>
    </xf>
    <xf numFmtId="164" fontId="0" fillId="0" borderId="0" xfId="0" applyNumberFormat="1"/>
    <xf numFmtId="164" fontId="0" fillId="0" borderId="0" xfId="0" applyNumberFormat="1" applyAlignment="1">
      <alignment horizontal="right"/>
    </xf>
    <xf numFmtId="164" fontId="1" fillId="0" borderId="0" xfId="0" applyNumberFormat="1" applyFont="1"/>
    <xf numFmtId="164" fontId="1" fillId="0" borderId="0" xfId="0" applyNumberFormat="1" applyFont="1" applyAlignment="1">
      <alignment horizontal="right"/>
    </xf>
    <xf numFmtId="9" fontId="1" fillId="0" borderId="0" xfId="0" applyNumberFormat="1" applyFont="1" applyAlignment="1">
      <alignment horizontal="right"/>
    </xf>
    <xf numFmtId="0" fontId="2" fillId="0" borderId="0" xfId="1"/>
    <xf numFmtId="9" fontId="1" fillId="0" borderId="0" xfId="0" applyNumberFormat="1" applyFont="1"/>
    <xf numFmtId="9" fontId="0" fillId="0" borderId="0" xfId="0" applyNumberFormat="1"/>
    <xf numFmtId="9" fontId="0" fillId="0" borderId="0" xfId="0" applyNumberFormat="1" applyAlignment="1">
      <alignment horizontal="right"/>
    </xf>
    <xf numFmtId="0" fontId="0" fillId="0" borderId="7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3" fillId="0" borderId="0" xfId="0" applyFont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12F0C33A-4358-4C7B-B997-A96C825081B6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54DC2-CF17-4B3B-B50C-E6A887B03323}">
  <dimension ref="B2:N10"/>
  <sheetViews>
    <sheetView zoomScaleNormal="100" workbookViewId="0">
      <selection activeCell="N7" sqref="N7"/>
    </sheetView>
  </sheetViews>
  <sheetFormatPr defaultRowHeight="12.75" x14ac:dyDescent="0.2"/>
  <cols>
    <col min="1" max="1" width="1.7109375" customWidth="1"/>
    <col min="2" max="2" width="18" bestFit="1" customWidth="1"/>
  </cols>
  <sheetData>
    <row r="2" spans="2:14" x14ac:dyDescent="0.2">
      <c r="B2" s="7" t="s">
        <v>6</v>
      </c>
      <c r="C2" s="8" t="s">
        <v>10</v>
      </c>
      <c r="D2" s="23" t="s">
        <v>54</v>
      </c>
      <c r="E2" s="8" t="s">
        <v>56</v>
      </c>
      <c r="F2" s="8"/>
      <c r="G2" s="8"/>
      <c r="H2" s="8"/>
      <c r="I2" s="8"/>
      <c r="J2" s="9"/>
      <c r="L2" t="s">
        <v>0</v>
      </c>
      <c r="M2" s="1">
        <v>8.85</v>
      </c>
    </row>
    <row r="3" spans="2:14" x14ac:dyDescent="0.2">
      <c r="B3" s="2" t="s">
        <v>9</v>
      </c>
      <c r="C3" t="s">
        <v>11</v>
      </c>
      <c r="D3" s="24"/>
      <c r="J3" s="3"/>
      <c r="L3" t="s">
        <v>1</v>
      </c>
      <c r="M3" s="11">
        <v>785.51099999999997</v>
      </c>
      <c r="N3" s="10" t="s">
        <v>24</v>
      </c>
    </row>
    <row r="4" spans="2:14" x14ac:dyDescent="0.2">
      <c r="B4" s="2" t="s">
        <v>8</v>
      </c>
      <c r="C4" t="s">
        <v>12</v>
      </c>
      <c r="D4" s="24"/>
      <c r="J4" s="3"/>
      <c r="L4" t="s">
        <v>2</v>
      </c>
      <c r="M4" s="11">
        <f>+M2*M3/10</f>
        <v>695.17723499999988</v>
      </c>
      <c r="N4" s="10"/>
    </row>
    <row r="5" spans="2:14" x14ac:dyDescent="0.2">
      <c r="B5" s="2"/>
      <c r="D5" s="24" t="s">
        <v>52</v>
      </c>
      <c r="J5" s="3"/>
      <c r="L5" t="s">
        <v>3</v>
      </c>
      <c r="M5" s="11">
        <v>169.4</v>
      </c>
      <c r="N5" s="10" t="s">
        <v>26</v>
      </c>
    </row>
    <row r="6" spans="2:14" x14ac:dyDescent="0.2">
      <c r="B6" s="2" t="s">
        <v>50</v>
      </c>
      <c r="C6" t="s">
        <v>51</v>
      </c>
      <c r="D6" s="24" t="s">
        <v>53</v>
      </c>
      <c r="J6" s="3"/>
      <c r="L6" t="s">
        <v>4</v>
      </c>
      <c r="M6" s="11">
        <v>82.4</v>
      </c>
      <c r="N6" s="10" t="s">
        <v>26</v>
      </c>
    </row>
    <row r="7" spans="2:14" x14ac:dyDescent="0.2">
      <c r="B7" s="2"/>
      <c r="D7" s="24"/>
      <c r="J7" s="3"/>
      <c r="L7" t="s">
        <v>5</v>
      </c>
      <c r="M7" s="11">
        <f>+M4-M5+M6</f>
        <v>608.17723499999988</v>
      </c>
    </row>
    <row r="8" spans="2:14" x14ac:dyDescent="0.2">
      <c r="B8" s="4"/>
      <c r="C8" s="5"/>
      <c r="D8" s="25"/>
      <c r="E8" s="5"/>
      <c r="F8" s="5"/>
      <c r="G8" s="5"/>
      <c r="H8" s="5"/>
      <c r="I8" s="5"/>
      <c r="J8" s="6"/>
    </row>
    <row r="10" spans="2:14" x14ac:dyDescent="0.2">
      <c r="L10" t="s">
        <v>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C7877-43DE-4D20-9D9E-BB366D1DE553}">
  <dimension ref="A1:DA23"/>
  <sheetViews>
    <sheetView tabSelected="1" zoomScaleNormal="100" workbookViewId="0">
      <pane xSplit="2" ySplit="2" topLeftCell="Z3" activePane="bottomRight" state="frozen"/>
      <selection pane="topRight" activeCell="C1" sqref="C1"/>
      <selection pane="bottomLeft" activeCell="A3" sqref="A3"/>
      <selection pane="bottomRight" activeCell="AJ21" sqref="AJ21"/>
    </sheetView>
  </sheetViews>
  <sheetFormatPr defaultRowHeight="12.75" x14ac:dyDescent="0.2"/>
  <cols>
    <col min="1" max="1" width="5" bestFit="1" customWidth="1"/>
    <col min="2" max="2" width="18.140625" bestFit="1" customWidth="1"/>
    <col min="3" max="14" width="9.140625" style="10"/>
  </cols>
  <sheetData>
    <row r="1" spans="1:105" x14ac:dyDescent="0.2">
      <c r="A1" s="19" t="s">
        <v>13</v>
      </c>
    </row>
    <row r="2" spans="1:105" x14ac:dyDescent="0.2">
      <c r="B2" t="s">
        <v>41</v>
      </c>
      <c r="C2" s="10" t="s">
        <v>15</v>
      </c>
      <c r="D2" s="10" t="s">
        <v>16</v>
      </c>
      <c r="E2" s="10" t="s">
        <v>17</v>
      </c>
      <c r="F2" s="10" t="s">
        <v>18</v>
      </c>
      <c r="G2" s="10" t="s">
        <v>19</v>
      </c>
      <c r="H2" s="10" t="s">
        <v>20</v>
      </c>
      <c r="I2" s="10" t="s">
        <v>21</v>
      </c>
      <c r="J2" s="10" t="s">
        <v>22</v>
      </c>
      <c r="K2" s="10" t="s">
        <v>23</v>
      </c>
      <c r="L2" s="10" t="s">
        <v>24</v>
      </c>
      <c r="M2" s="10" t="s">
        <v>25</v>
      </c>
      <c r="N2" s="10" t="s">
        <v>26</v>
      </c>
      <c r="O2" s="10" t="s">
        <v>46</v>
      </c>
      <c r="P2" s="10" t="s">
        <v>47</v>
      </c>
      <c r="Q2" s="10" t="s">
        <v>48</v>
      </c>
      <c r="R2" s="10" t="s">
        <v>49</v>
      </c>
      <c r="T2">
        <v>2022</v>
      </c>
      <c r="U2">
        <v>2023</v>
      </c>
      <c r="V2">
        <v>2024</v>
      </c>
      <c r="W2">
        <f>+V2+1</f>
        <v>2025</v>
      </c>
      <c r="X2">
        <f t="shared" ref="X2:AG2" si="0">+W2+1</f>
        <v>2026</v>
      </c>
      <c r="Y2">
        <f t="shared" si="0"/>
        <v>2027</v>
      </c>
      <c r="Z2">
        <f t="shared" si="0"/>
        <v>2028</v>
      </c>
      <c r="AA2">
        <f t="shared" si="0"/>
        <v>2029</v>
      </c>
      <c r="AB2">
        <f t="shared" si="0"/>
        <v>2030</v>
      </c>
      <c r="AC2">
        <f t="shared" si="0"/>
        <v>2031</v>
      </c>
      <c r="AD2">
        <f t="shared" si="0"/>
        <v>2032</v>
      </c>
      <c r="AE2">
        <f t="shared" si="0"/>
        <v>2033</v>
      </c>
      <c r="AF2">
        <f t="shared" si="0"/>
        <v>2034</v>
      </c>
      <c r="AG2">
        <f t="shared" si="0"/>
        <v>2035</v>
      </c>
    </row>
    <row r="3" spans="1:105" s="14" customFormat="1" x14ac:dyDescent="0.2">
      <c r="B3" s="14" t="s">
        <v>14</v>
      </c>
      <c r="C3" s="15"/>
      <c r="D3" s="15"/>
      <c r="E3" s="15"/>
      <c r="F3" s="15">
        <v>0</v>
      </c>
      <c r="G3" s="15">
        <v>0</v>
      </c>
      <c r="H3" s="15">
        <v>3.8</v>
      </c>
      <c r="I3" s="15">
        <v>6.5</v>
      </c>
      <c r="J3" s="15">
        <v>7.9</v>
      </c>
      <c r="K3" s="15">
        <f>31.9-L3-M3</f>
        <v>9.5999999999999979</v>
      </c>
      <c r="L3" s="15">
        <v>11.1</v>
      </c>
      <c r="M3" s="15">
        <v>11.2</v>
      </c>
      <c r="N3" s="15">
        <v>13.1</v>
      </c>
      <c r="O3" s="14">
        <f>+N3+0.5</f>
        <v>13.6</v>
      </c>
      <c r="P3" s="14">
        <f>+O3+0.5</f>
        <v>14.1</v>
      </c>
      <c r="Q3" s="14">
        <f>+P3+0.5</f>
        <v>14.6</v>
      </c>
      <c r="R3" s="14">
        <f>+Q3+0.5</f>
        <v>15.1</v>
      </c>
      <c r="U3" s="14">
        <f>SUM(G3:J3)</f>
        <v>18.200000000000003</v>
      </c>
      <c r="V3" s="14">
        <f>SUM(K3:N3)</f>
        <v>44.999999999999993</v>
      </c>
      <c r="W3" s="14">
        <f>SUM(O3:R3)</f>
        <v>57.4</v>
      </c>
      <c r="X3" s="14">
        <f>+W3*1.3</f>
        <v>74.62</v>
      </c>
      <c r="Y3" s="14">
        <f>+X3*1.2</f>
        <v>89.543999999999997</v>
      </c>
      <c r="Z3" s="14">
        <f>+Y3*1.3</f>
        <v>116.4072</v>
      </c>
      <c r="AA3" s="14">
        <f>+Z3*1.2</f>
        <v>139.68863999999999</v>
      </c>
      <c r="AB3" s="14">
        <f>+AA3*1.2</f>
        <v>167.62636799999999</v>
      </c>
      <c r="AC3" s="14">
        <f>+AB3*1.1</f>
        <v>184.38900480000001</v>
      </c>
      <c r="AD3" s="14">
        <f>+AC3*0.1</f>
        <v>18.438900480000001</v>
      </c>
      <c r="AE3" s="14">
        <f>+AD3*0.1</f>
        <v>1.8438900480000002</v>
      </c>
      <c r="AF3" s="14">
        <f>+AE3*0.1</f>
        <v>0.18438900480000003</v>
      </c>
      <c r="AG3" s="14">
        <f>+AF3*0.1</f>
        <v>1.8438900480000003E-2</v>
      </c>
    </row>
    <row r="4" spans="1:105" s="14" customFormat="1" x14ac:dyDescent="0.2">
      <c r="B4" s="14" t="s">
        <v>7</v>
      </c>
      <c r="C4" s="15"/>
      <c r="D4" s="15"/>
      <c r="E4" s="15"/>
      <c r="F4" s="15">
        <v>54.6</v>
      </c>
      <c r="G4" s="15">
        <v>42.5</v>
      </c>
      <c r="H4" s="15">
        <v>51.1</v>
      </c>
      <c r="I4" s="15">
        <v>60.2</v>
      </c>
      <c r="J4" s="15">
        <v>73.3</v>
      </c>
      <c r="K4" s="15">
        <f>172.6-L4-M4</f>
        <v>45.999999999999993</v>
      </c>
      <c r="L4" s="15">
        <v>63</v>
      </c>
      <c r="M4" s="15">
        <v>63.6</v>
      </c>
      <c r="N4" s="15">
        <v>79.599999999999994</v>
      </c>
      <c r="O4" s="14">
        <f>+K4*1.09</f>
        <v>50.139999999999993</v>
      </c>
      <c r="P4" s="14">
        <f>+L4*1.09</f>
        <v>68.67</v>
      </c>
      <c r="Q4" s="14">
        <f>+M4*1.09</f>
        <v>69.324000000000012</v>
      </c>
      <c r="R4" s="14">
        <f>+N4*1.09</f>
        <v>86.763999999999996</v>
      </c>
      <c r="U4" s="14">
        <f>SUM(G4:J4)</f>
        <v>227.10000000000002</v>
      </c>
      <c r="V4" s="14">
        <f>SUM(K4:N4)</f>
        <v>252.2</v>
      </c>
      <c r="W4" s="14">
        <f>SUM(O4:R4)</f>
        <v>274.89800000000002</v>
      </c>
      <c r="X4" s="14">
        <f t="shared" ref="X4:AG4" si="1">+W4*1.01</f>
        <v>277.64698000000004</v>
      </c>
      <c r="Y4" s="14">
        <f t="shared" si="1"/>
        <v>280.42344980000007</v>
      </c>
      <c r="Z4" s="14">
        <f t="shared" si="1"/>
        <v>283.2276842980001</v>
      </c>
      <c r="AA4" s="14">
        <f t="shared" si="1"/>
        <v>286.05996114098008</v>
      </c>
      <c r="AB4" s="14">
        <f t="shared" si="1"/>
        <v>288.92056075238986</v>
      </c>
      <c r="AC4" s="14">
        <f t="shared" si="1"/>
        <v>291.80976635991374</v>
      </c>
      <c r="AD4" s="14">
        <f t="shared" si="1"/>
        <v>294.72786402351289</v>
      </c>
      <c r="AE4" s="14">
        <f t="shared" si="1"/>
        <v>297.67514266374803</v>
      </c>
      <c r="AF4" s="14">
        <f t="shared" si="1"/>
        <v>300.6518940903855</v>
      </c>
      <c r="AG4" s="14">
        <f t="shared" si="1"/>
        <v>303.65841303128934</v>
      </c>
    </row>
    <row r="5" spans="1:105" s="16" customFormat="1" x14ac:dyDescent="0.2">
      <c r="B5" s="16" t="s">
        <v>27</v>
      </c>
      <c r="C5" s="17"/>
      <c r="D5" s="17"/>
      <c r="E5" s="17"/>
      <c r="F5" s="17">
        <f t="shared" ref="F5:R5" si="2">+F3+F4</f>
        <v>54.6</v>
      </c>
      <c r="G5" s="17">
        <f t="shared" si="2"/>
        <v>42.5</v>
      </c>
      <c r="H5" s="17">
        <f t="shared" si="2"/>
        <v>54.9</v>
      </c>
      <c r="I5" s="17">
        <f t="shared" si="2"/>
        <v>66.7</v>
      </c>
      <c r="J5" s="17">
        <f t="shared" si="2"/>
        <v>81.2</v>
      </c>
      <c r="K5" s="17">
        <f t="shared" si="2"/>
        <v>55.599999999999994</v>
      </c>
      <c r="L5" s="17">
        <f t="shared" si="2"/>
        <v>74.099999999999994</v>
      </c>
      <c r="M5" s="17">
        <f t="shared" si="2"/>
        <v>74.8</v>
      </c>
      <c r="N5" s="17">
        <f t="shared" si="2"/>
        <v>92.699999999999989</v>
      </c>
      <c r="O5" s="17">
        <f t="shared" si="2"/>
        <v>63.739999999999995</v>
      </c>
      <c r="P5" s="17">
        <f t="shared" si="2"/>
        <v>82.77</v>
      </c>
      <c r="Q5" s="17">
        <f t="shared" si="2"/>
        <v>83.924000000000007</v>
      </c>
      <c r="R5" s="17">
        <f t="shared" si="2"/>
        <v>101.86399999999999</v>
      </c>
      <c r="U5" s="16">
        <f>+U3+U4</f>
        <v>245.3</v>
      </c>
      <c r="V5" s="16">
        <f>+V4+V3</f>
        <v>297.2</v>
      </c>
      <c r="W5" s="16">
        <f>+W3+W4</f>
        <v>332.298</v>
      </c>
      <c r="X5" s="16">
        <f t="shared" ref="X5:AG5" si="3">+X3+X4</f>
        <v>352.26698000000005</v>
      </c>
      <c r="Y5" s="16">
        <f t="shared" si="3"/>
        <v>369.96744980000005</v>
      </c>
      <c r="Z5" s="16">
        <f t="shared" si="3"/>
        <v>399.63488429800009</v>
      </c>
      <c r="AA5" s="16">
        <f t="shared" si="3"/>
        <v>425.7486011409801</v>
      </c>
      <c r="AB5" s="16">
        <f t="shared" si="3"/>
        <v>456.54692875238982</v>
      </c>
      <c r="AC5" s="16">
        <f t="shared" si="3"/>
        <v>476.19877115991375</v>
      </c>
      <c r="AD5" s="16">
        <f t="shared" si="3"/>
        <v>313.16676450351292</v>
      </c>
      <c r="AE5" s="16">
        <f t="shared" si="3"/>
        <v>299.51903271174803</v>
      </c>
      <c r="AF5" s="16">
        <f t="shared" si="3"/>
        <v>300.83628309518548</v>
      </c>
      <c r="AG5" s="16">
        <f t="shared" si="3"/>
        <v>303.67685193176936</v>
      </c>
    </row>
    <row r="6" spans="1:105" s="14" customFormat="1" x14ac:dyDescent="0.2">
      <c r="B6" s="14" t="s">
        <v>31</v>
      </c>
      <c r="C6" s="15"/>
      <c r="D6" s="15"/>
      <c r="E6" s="15"/>
      <c r="F6" s="15">
        <v>6.3</v>
      </c>
      <c r="G6" s="15">
        <v>4</v>
      </c>
      <c r="H6" s="15">
        <v>5.7</v>
      </c>
      <c r="I6" s="15">
        <v>8.3000000000000007</v>
      </c>
      <c r="J6" s="15">
        <v>7.1</v>
      </c>
      <c r="K6" s="15">
        <v>8.4</v>
      </c>
      <c r="L6" s="15">
        <v>8</v>
      </c>
      <c r="M6" s="15">
        <v>6.8</v>
      </c>
      <c r="N6" s="15">
        <v>12.2</v>
      </c>
      <c r="O6" s="14">
        <f t="shared" ref="O6:Q6" si="4">+O5-O7</f>
        <v>7.6488000000000014</v>
      </c>
      <c r="P6" s="14">
        <f t="shared" si="4"/>
        <v>9.9324000000000012</v>
      </c>
      <c r="Q6" s="14">
        <f t="shared" si="4"/>
        <v>10.070880000000002</v>
      </c>
      <c r="R6" s="14">
        <f>+R5-R7</f>
        <v>12.223680000000002</v>
      </c>
      <c r="U6" s="14">
        <f>SUM(G6:J6)</f>
        <v>25.1</v>
      </c>
      <c r="V6" s="14">
        <f>+V5*0.1</f>
        <v>29.72</v>
      </c>
      <c r="W6" s="14">
        <f>SUM(O6:R6)</f>
        <v>39.875760000000007</v>
      </c>
      <c r="X6" s="14">
        <f t="shared" ref="X6:AG6" si="5">+X5*0.1</f>
        <v>35.226698000000006</v>
      </c>
      <c r="Y6" s="14">
        <f t="shared" si="5"/>
        <v>36.99674498000001</v>
      </c>
      <c r="Z6" s="14">
        <f t="shared" si="5"/>
        <v>39.963488429800009</v>
      </c>
      <c r="AA6" s="14">
        <f t="shared" si="5"/>
        <v>42.574860114098016</v>
      </c>
      <c r="AB6" s="14">
        <f t="shared" si="5"/>
        <v>45.654692875238986</v>
      </c>
      <c r="AC6" s="14">
        <f t="shared" si="5"/>
        <v>47.619877115991379</v>
      </c>
      <c r="AD6" s="14">
        <f t="shared" si="5"/>
        <v>31.316676450351295</v>
      </c>
      <c r="AE6" s="14">
        <f t="shared" si="5"/>
        <v>29.951903271174803</v>
      </c>
      <c r="AF6" s="14">
        <f t="shared" si="5"/>
        <v>30.083628309518549</v>
      </c>
      <c r="AG6" s="14">
        <f t="shared" si="5"/>
        <v>30.367685193176939</v>
      </c>
    </row>
    <row r="7" spans="1:105" s="14" customFormat="1" x14ac:dyDescent="0.2">
      <c r="B7" s="14" t="s">
        <v>32</v>
      </c>
      <c r="C7" s="15"/>
      <c r="D7" s="15"/>
      <c r="E7" s="15"/>
      <c r="F7" s="15">
        <f t="shared" ref="F7:M7" si="6">+F5-F6</f>
        <v>48.300000000000004</v>
      </c>
      <c r="G7" s="15">
        <f t="shared" si="6"/>
        <v>38.5</v>
      </c>
      <c r="H7" s="15">
        <f t="shared" si="6"/>
        <v>49.199999999999996</v>
      </c>
      <c r="I7" s="15">
        <f t="shared" si="6"/>
        <v>58.400000000000006</v>
      </c>
      <c r="J7" s="15">
        <f t="shared" si="6"/>
        <v>74.100000000000009</v>
      </c>
      <c r="K7" s="15">
        <f t="shared" si="6"/>
        <v>47.199999999999996</v>
      </c>
      <c r="L7" s="15">
        <f t="shared" si="6"/>
        <v>66.099999999999994</v>
      </c>
      <c r="M7" s="15">
        <f t="shared" si="6"/>
        <v>68</v>
      </c>
      <c r="N7" s="15">
        <f>+N5-N6</f>
        <v>80.499999999999986</v>
      </c>
      <c r="O7" s="14">
        <f>+O5*0.88</f>
        <v>56.091199999999994</v>
      </c>
      <c r="P7" s="14">
        <f>+P5*0.88</f>
        <v>72.837599999999995</v>
      </c>
      <c r="Q7" s="14">
        <f>+Q5*0.88</f>
        <v>73.853120000000004</v>
      </c>
      <c r="R7" s="14">
        <f>+R5*0.88</f>
        <v>89.640319999999988</v>
      </c>
      <c r="U7" s="14">
        <f>+U5-U6</f>
        <v>220.20000000000002</v>
      </c>
      <c r="V7" s="14">
        <f>+V5-V6</f>
        <v>267.48</v>
      </c>
      <c r="W7" s="14">
        <f t="shared" ref="W7:AF7" si="7">+W5-W6</f>
        <v>292.42223999999999</v>
      </c>
      <c r="X7" s="14">
        <f t="shared" si="7"/>
        <v>317.04028200000005</v>
      </c>
      <c r="Y7" s="14">
        <f t="shared" si="7"/>
        <v>332.97070482000004</v>
      </c>
      <c r="Z7" s="14">
        <f t="shared" si="7"/>
        <v>359.67139586820008</v>
      </c>
      <c r="AA7" s="14">
        <f t="shared" si="7"/>
        <v>383.17374102688211</v>
      </c>
      <c r="AB7" s="14">
        <f t="shared" si="7"/>
        <v>410.89223587715082</v>
      </c>
      <c r="AC7" s="14">
        <f t="shared" si="7"/>
        <v>428.57889404392239</v>
      </c>
      <c r="AD7" s="14">
        <f t="shared" si="7"/>
        <v>281.85008805316164</v>
      </c>
      <c r="AE7" s="14">
        <f t="shared" si="7"/>
        <v>269.56712944057324</v>
      </c>
      <c r="AF7" s="14">
        <f t="shared" si="7"/>
        <v>270.75265478566695</v>
      </c>
      <c r="AG7" s="14">
        <f t="shared" ref="AG7" si="8">+AG5-AG6</f>
        <v>273.30916673859241</v>
      </c>
    </row>
    <row r="8" spans="1:105" s="14" customFormat="1" x14ac:dyDescent="0.2">
      <c r="B8" s="14" t="s">
        <v>35</v>
      </c>
      <c r="C8" s="15"/>
      <c r="D8" s="15"/>
      <c r="E8" s="15"/>
      <c r="F8" s="15">
        <v>10.9</v>
      </c>
      <c r="G8" s="15">
        <v>15.6</v>
      </c>
      <c r="H8" s="15">
        <v>20.9</v>
      </c>
      <c r="I8" s="15">
        <v>20.8</v>
      </c>
      <c r="J8" s="15">
        <v>11.6</v>
      </c>
      <c r="K8" s="15">
        <v>18.5</v>
      </c>
      <c r="L8" s="15">
        <v>21.6</v>
      </c>
      <c r="M8" s="15">
        <v>20.7</v>
      </c>
      <c r="N8" s="15">
        <v>22.3</v>
      </c>
      <c r="U8" s="14">
        <f t="shared" ref="U8:U10" si="9">SUM(G8:J8)</f>
        <v>68.899999999999991</v>
      </c>
      <c r="V8" s="14">
        <v>0</v>
      </c>
      <c r="W8" s="14">
        <f>SUM(O8:R8)</f>
        <v>0</v>
      </c>
      <c r="X8" s="14">
        <f t="shared" ref="X8:AF8" si="10">+W8*1.01</f>
        <v>0</v>
      </c>
      <c r="Y8" s="14">
        <f t="shared" si="10"/>
        <v>0</v>
      </c>
      <c r="Z8" s="14">
        <f t="shared" si="10"/>
        <v>0</v>
      </c>
      <c r="AA8" s="14">
        <f t="shared" si="10"/>
        <v>0</v>
      </c>
      <c r="AB8" s="14">
        <f t="shared" si="10"/>
        <v>0</v>
      </c>
      <c r="AC8" s="14">
        <f t="shared" si="10"/>
        <v>0</v>
      </c>
      <c r="AD8" s="14">
        <f t="shared" si="10"/>
        <v>0</v>
      </c>
      <c r="AE8" s="14">
        <f t="shared" si="10"/>
        <v>0</v>
      </c>
      <c r="AF8" s="14">
        <f t="shared" si="10"/>
        <v>0</v>
      </c>
      <c r="AG8" s="14">
        <f t="shared" ref="AG8" si="11">+AF8*1.01</f>
        <v>0</v>
      </c>
    </row>
    <row r="9" spans="1:105" s="14" customFormat="1" x14ac:dyDescent="0.2">
      <c r="B9" s="14" t="s">
        <v>34</v>
      </c>
      <c r="C9" s="15"/>
      <c r="D9" s="15"/>
      <c r="E9" s="15"/>
      <c r="F9" s="15">
        <v>17.600000000000001</v>
      </c>
      <c r="G9" s="15">
        <v>10.1</v>
      </c>
      <c r="H9" s="15">
        <v>11</v>
      </c>
      <c r="I9" s="15">
        <v>10.9</v>
      </c>
      <c r="J9" s="15">
        <v>24</v>
      </c>
      <c r="K9" s="15">
        <v>15.1</v>
      </c>
      <c r="L9" s="15">
        <v>15.6</v>
      </c>
      <c r="M9" s="15">
        <v>15.3</v>
      </c>
      <c r="N9" s="15">
        <v>24.6</v>
      </c>
      <c r="O9" s="14">
        <f>+K9</f>
        <v>15.1</v>
      </c>
      <c r="P9" s="14">
        <f t="shared" ref="P9:P10" si="12">+L9</f>
        <v>15.6</v>
      </c>
      <c r="Q9" s="14">
        <f t="shared" ref="Q9:Q10" si="13">+M9</f>
        <v>15.3</v>
      </c>
      <c r="R9" s="14">
        <f t="shared" ref="R9:R10" si="14">+N9</f>
        <v>24.6</v>
      </c>
      <c r="U9" s="14">
        <f t="shared" si="9"/>
        <v>56</v>
      </c>
      <c r="V9" s="14">
        <f>SUM(K9:N9)</f>
        <v>70.599999999999994</v>
      </c>
      <c r="W9" s="14">
        <f>SUM(O9:R9)</f>
        <v>70.599999999999994</v>
      </c>
      <c r="X9" s="14">
        <f t="shared" ref="X9:AF9" si="15">+W9*1.01</f>
        <v>71.305999999999997</v>
      </c>
      <c r="Y9" s="14">
        <f t="shared" si="15"/>
        <v>72.019059999999996</v>
      </c>
      <c r="Z9" s="14">
        <f t="shared" si="15"/>
        <v>72.739250599999991</v>
      </c>
      <c r="AA9" s="14">
        <f t="shared" si="15"/>
        <v>73.466643105999992</v>
      </c>
      <c r="AB9" s="14">
        <f t="shared" si="15"/>
        <v>74.201309537059998</v>
      </c>
      <c r="AC9" s="14">
        <f t="shared" si="15"/>
        <v>74.943322632430593</v>
      </c>
      <c r="AD9" s="14">
        <f t="shared" si="15"/>
        <v>75.692755858754893</v>
      </c>
      <c r="AE9" s="14">
        <f t="shared" si="15"/>
        <v>76.449683417342442</v>
      </c>
      <c r="AF9" s="14">
        <f t="shared" si="15"/>
        <v>77.21418025151587</v>
      </c>
      <c r="AG9" s="14">
        <f t="shared" ref="AG9" si="16">+AF9*1.01</f>
        <v>77.986322054031035</v>
      </c>
    </row>
    <row r="10" spans="1:105" s="14" customFormat="1" x14ac:dyDescent="0.2">
      <c r="B10" s="14" t="s">
        <v>33</v>
      </c>
      <c r="C10" s="15"/>
      <c r="D10" s="15"/>
      <c r="E10" s="15"/>
      <c r="F10" s="15">
        <v>29</v>
      </c>
      <c r="G10" s="15">
        <v>27.1</v>
      </c>
      <c r="H10" s="15">
        <v>33.9</v>
      </c>
      <c r="I10" s="15">
        <v>25.1</v>
      </c>
      <c r="J10" s="15">
        <v>37.9</v>
      </c>
      <c r="K10" s="15">
        <v>30.2</v>
      </c>
      <c r="L10" s="15">
        <v>32.9</v>
      </c>
      <c r="M10" s="15">
        <v>28.7</v>
      </c>
      <c r="N10" s="15">
        <v>27</v>
      </c>
      <c r="O10" s="14">
        <f t="shared" ref="O10" si="17">+K10</f>
        <v>30.2</v>
      </c>
      <c r="P10" s="14">
        <f t="shared" si="12"/>
        <v>32.9</v>
      </c>
      <c r="Q10" s="14">
        <f t="shared" si="13"/>
        <v>28.7</v>
      </c>
      <c r="R10" s="14">
        <f t="shared" si="14"/>
        <v>27</v>
      </c>
      <c r="U10" s="14">
        <f t="shared" si="9"/>
        <v>124</v>
      </c>
      <c r="V10" s="14">
        <f>SUM(K10:N10)</f>
        <v>118.8</v>
      </c>
      <c r="W10" s="14">
        <f>SUM(O10:R10)</f>
        <v>118.8</v>
      </c>
      <c r="X10" s="14">
        <f t="shared" ref="X10:AF10" si="18">+W10*1.01</f>
        <v>119.988</v>
      </c>
      <c r="Y10" s="14">
        <f t="shared" si="18"/>
        <v>121.18788000000001</v>
      </c>
      <c r="Z10" s="14">
        <f t="shared" si="18"/>
        <v>122.39975880000001</v>
      </c>
      <c r="AA10" s="14">
        <f t="shared" si="18"/>
        <v>123.62375638800002</v>
      </c>
      <c r="AB10" s="14">
        <f t="shared" si="18"/>
        <v>124.85999395188001</v>
      </c>
      <c r="AC10" s="14">
        <f t="shared" si="18"/>
        <v>126.10859389139881</v>
      </c>
      <c r="AD10" s="14">
        <f t="shared" si="18"/>
        <v>127.3696798303128</v>
      </c>
      <c r="AE10" s="14">
        <f t="shared" si="18"/>
        <v>128.64337662861593</v>
      </c>
      <c r="AF10" s="14">
        <f t="shared" si="18"/>
        <v>129.92981039490209</v>
      </c>
      <c r="AG10" s="14">
        <f t="shared" ref="AG10" si="19">+AF10*1.01</f>
        <v>131.2291084988511</v>
      </c>
    </row>
    <row r="11" spans="1:105" s="14" customFormat="1" x14ac:dyDescent="0.2">
      <c r="B11" s="14" t="s">
        <v>30</v>
      </c>
      <c r="C11" s="15">
        <f t="shared" ref="C11:L11" si="20">SUM(C8:C10)</f>
        <v>0</v>
      </c>
      <c r="D11" s="15">
        <f t="shared" si="20"/>
        <v>0</v>
      </c>
      <c r="E11" s="15">
        <f t="shared" si="20"/>
        <v>0</v>
      </c>
      <c r="F11" s="15">
        <f t="shared" si="20"/>
        <v>57.5</v>
      </c>
      <c r="G11" s="15">
        <f t="shared" si="20"/>
        <v>52.8</v>
      </c>
      <c r="H11" s="15">
        <f t="shared" si="20"/>
        <v>65.8</v>
      </c>
      <c r="I11" s="15">
        <f>SUM(I8:I10)</f>
        <v>56.800000000000004</v>
      </c>
      <c r="J11" s="15">
        <f t="shared" si="20"/>
        <v>73.5</v>
      </c>
      <c r="K11" s="15">
        <f t="shared" si="20"/>
        <v>63.8</v>
      </c>
      <c r="L11" s="15">
        <f t="shared" si="20"/>
        <v>70.099999999999994</v>
      </c>
      <c r="M11" s="15">
        <f>SUM(M8:M10)</f>
        <v>64.7</v>
      </c>
      <c r="N11" s="15">
        <f>SUM(N8:N10)</f>
        <v>73.900000000000006</v>
      </c>
      <c r="O11" s="15">
        <f t="shared" ref="O11:R11" si="21">SUM(O8:O10)</f>
        <v>45.3</v>
      </c>
      <c r="P11" s="15">
        <f t="shared" si="21"/>
        <v>48.5</v>
      </c>
      <c r="Q11" s="15">
        <f t="shared" si="21"/>
        <v>44</v>
      </c>
      <c r="R11" s="15">
        <f t="shared" si="21"/>
        <v>51.6</v>
      </c>
      <c r="U11" s="14">
        <f t="shared" ref="U11" si="22">SUM(U8:U10)</f>
        <v>248.89999999999998</v>
      </c>
      <c r="V11" s="14">
        <f>SUM(V8:V10)</f>
        <v>189.39999999999998</v>
      </c>
      <c r="W11" s="14">
        <f t="shared" ref="W11:AF11" si="23">SUM(W8:W10)</f>
        <v>189.39999999999998</v>
      </c>
      <c r="X11" s="14">
        <f t="shared" si="23"/>
        <v>191.29399999999998</v>
      </c>
      <c r="Y11" s="14">
        <f t="shared" si="23"/>
        <v>193.20694</v>
      </c>
      <c r="Z11" s="14">
        <f t="shared" si="23"/>
        <v>195.13900940000002</v>
      </c>
      <c r="AA11" s="14">
        <f t="shared" si="23"/>
        <v>197.090399494</v>
      </c>
      <c r="AB11" s="14">
        <f t="shared" si="23"/>
        <v>199.06130348894001</v>
      </c>
      <c r="AC11" s="14">
        <f t="shared" si="23"/>
        <v>201.05191652382939</v>
      </c>
      <c r="AD11" s="14">
        <f t="shared" si="23"/>
        <v>203.06243568906768</v>
      </c>
      <c r="AE11" s="14">
        <f t="shared" si="23"/>
        <v>205.09306004595837</v>
      </c>
      <c r="AF11" s="14">
        <f t="shared" si="23"/>
        <v>207.14399064641796</v>
      </c>
      <c r="AG11" s="14">
        <f t="shared" ref="AG11" si="24">SUM(AG8:AG10)</f>
        <v>209.21543055288214</v>
      </c>
    </row>
    <row r="12" spans="1:105" x14ac:dyDescent="0.2">
      <c r="B12" t="s">
        <v>29</v>
      </c>
      <c r="C12" s="15">
        <f t="shared" ref="C12:L12" si="25">C7-C11</f>
        <v>0</v>
      </c>
      <c r="D12" s="15">
        <f t="shared" si="25"/>
        <v>0</v>
      </c>
      <c r="E12" s="15">
        <f t="shared" si="25"/>
        <v>0</v>
      </c>
      <c r="F12" s="15">
        <f t="shared" si="25"/>
        <v>-9.1999999999999957</v>
      </c>
      <c r="G12" s="15">
        <f t="shared" si="25"/>
        <v>-14.299999999999997</v>
      </c>
      <c r="H12" s="15">
        <f t="shared" si="25"/>
        <v>-16.600000000000001</v>
      </c>
      <c r="I12" s="15">
        <f t="shared" si="25"/>
        <v>1.6000000000000014</v>
      </c>
      <c r="J12" s="15">
        <f t="shared" si="25"/>
        <v>0.60000000000000853</v>
      </c>
      <c r="K12" s="15">
        <f t="shared" si="25"/>
        <v>-16.600000000000001</v>
      </c>
      <c r="L12" s="15">
        <f t="shared" si="25"/>
        <v>-4</v>
      </c>
      <c r="M12" s="15">
        <f>M7-M11</f>
        <v>3.2999999999999972</v>
      </c>
      <c r="N12" s="15">
        <f>N7-N11</f>
        <v>6.5999999999999801</v>
      </c>
      <c r="O12" s="15">
        <f t="shared" ref="O12:R12" si="26">O7-O11</f>
        <v>10.791199999999996</v>
      </c>
      <c r="P12" s="15">
        <f t="shared" si="26"/>
        <v>24.337599999999995</v>
      </c>
      <c r="Q12" s="15">
        <f t="shared" si="26"/>
        <v>29.853120000000004</v>
      </c>
      <c r="R12" s="15">
        <f t="shared" si="26"/>
        <v>38.040319999999987</v>
      </c>
      <c r="U12" s="14">
        <f t="shared" ref="U12" si="27">+U7-U11</f>
        <v>-28.69999999999996</v>
      </c>
      <c r="V12" s="14">
        <f>+V7-V11</f>
        <v>78.080000000000041</v>
      </c>
      <c r="W12" s="14">
        <f t="shared" ref="W12:AF12" si="28">+W7-W11</f>
        <v>103.02224000000001</v>
      </c>
      <c r="X12" s="14">
        <f t="shared" si="28"/>
        <v>125.74628200000006</v>
      </c>
      <c r="Y12" s="14">
        <f t="shared" si="28"/>
        <v>139.76376482000003</v>
      </c>
      <c r="Z12" s="14">
        <f t="shared" si="28"/>
        <v>164.53238646820006</v>
      </c>
      <c r="AA12" s="14">
        <f t="shared" si="28"/>
        <v>186.08334153288212</v>
      </c>
      <c r="AB12" s="14">
        <f t="shared" si="28"/>
        <v>211.83093238821081</v>
      </c>
      <c r="AC12" s="14">
        <f t="shared" si="28"/>
        <v>227.526977520093</v>
      </c>
      <c r="AD12" s="14">
        <f t="shared" si="28"/>
        <v>78.787652364093958</v>
      </c>
      <c r="AE12" s="14">
        <f t="shared" si="28"/>
        <v>64.474069394614872</v>
      </c>
      <c r="AF12" s="14">
        <f t="shared" si="28"/>
        <v>63.608664139248987</v>
      </c>
      <c r="AG12" s="14">
        <f t="shared" ref="AG12" si="29">+AG7-AG11</f>
        <v>64.09373618571027</v>
      </c>
    </row>
    <row r="13" spans="1:105" s="14" customFormat="1" x14ac:dyDescent="0.2">
      <c r="B13" s="14" t="s">
        <v>39</v>
      </c>
      <c r="C13" s="15"/>
      <c r="D13" s="15"/>
      <c r="E13" s="15"/>
      <c r="F13" s="15">
        <f>-1.1-4.5-1.5-0.4</f>
        <v>-7.5</v>
      </c>
      <c r="G13" s="15">
        <f>0.1-2.8-0.3+0.6</f>
        <v>-2.3999999999999995</v>
      </c>
      <c r="H13" s="15">
        <f>0.7-2.5-0.1+21.9</f>
        <v>20</v>
      </c>
      <c r="I13" s="15">
        <f>0.3+1.4</f>
        <v>1.7</v>
      </c>
      <c r="J13" s="15">
        <f>0.5+1.6-4.5+0.7</f>
        <v>-1.7</v>
      </c>
      <c r="K13" s="15">
        <f>1.8-1.6-0.5+0.3</f>
        <v>0</v>
      </c>
      <c r="L13" s="15">
        <f>0.9+1.2-2.9-0.4</f>
        <v>-1.1999999999999997</v>
      </c>
      <c r="M13" s="15">
        <f>0.8-2.6</f>
        <v>-1.8</v>
      </c>
      <c r="N13" s="15">
        <f>3.1-2.5</f>
        <v>0.60000000000000009</v>
      </c>
      <c r="U13" s="14">
        <f t="shared" ref="U13:U15" si="30">SUM(G13:J13)</f>
        <v>17.600000000000001</v>
      </c>
      <c r="V13" s="14">
        <v>1</v>
      </c>
      <c r="W13" s="14">
        <f>SUM(O13:R13)</f>
        <v>0</v>
      </c>
      <c r="X13" s="14">
        <f t="shared" ref="X13:AG13" si="31">+W13+1</f>
        <v>1</v>
      </c>
      <c r="Y13" s="14">
        <f t="shared" si="31"/>
        <v>2</v>
      </c>
      <c r="Z13" s="14">
        <f t="shared" si="31"/>
        <v>3</v>
      </c>
      <c r="AA13" s="14">
        <f t="shared" si="31"/>
        <v>4</v>
      </c>
      <c r="AB13" s="14">
        <f t="shared" si="31"/>
        <v>5</v>
      </c>
      <c r="AC13" s="14">
        <f t="shared" si="31"/>
        <v>6</v>
      </c>
      <c r="AD13" s="14">
        <f t="shared" si="31"/>
        <v>7</v>
      </c>
      <c r="AE13" s="14">
        <f t="shared" si="31"/>
        <v>8</v>
      </c>
      <c r="AF13" s="14">
        <f t="shared" si="31"/>
        <v>9</v>
      </c>
      <c r="AG13" s="14">
        <f t="shared" si="31"/>
        <v>10</v>
      </c>
    </row>
    <row r="14" spans="1:105" s="14" customFormat="1" x14ac:dyDescent="0.2">
      <c r="B14" s="14" t="s">
        <v>38</v>
      </c>
      <c r="C14" s="15"/>
      <c r="D14" s="15"/>
      <c r="E14" s="15"/>
      <c r="F14" s="15">
        <f t="shared" ref="F14:L14" si="32">+F12+F13</f>
        <v>-16.699999999999996</v>
      </c>
      <c r="G14" s="15">
        <f t="shared" si="32"/>
        <v>-16.699999999999996</v>
      </c>
      <c r="H14" s="15">
        <f t="shared" si="32"/>
        <v>3.3999999999999986</v>
      </c>
      <c r="I14" s="15">
        <f t="shared" si="32"/>
        <v>3.3000000000000016</v>
      </c>
      <c r="J14" s="15">
        <f t="shared" si="32"/>
        <v>-1.0999999999999914</v>
      </c>
      <c r="K14" s="15">
        <f t="shared" si="32"/>
        <v>-16.600000000000001</v>
      </c>
      <c r="L14" s="15">
        <f t="shared" si="32"/>
        <v>-5.1999999999999993</v>
      </c>
      <c r="M14" s="15">
        <f>+M12+M13</f>
        <v>1.4999999999999971</v>
      </c>
      <c r="N14" s="15">
        <f>+N12+N13</f>
        <v>7.1999999999999797</v>
      </c>
      <c r="O14" s="15">
        <f t="shared" ref="O14:R14" si="33">+O12+O13</f>
        <v>10.791199999999996</v>
      </c>
      <c r="P14" s="15">
        <f t="shared" si="33"/>
        <v>24.337599999999995</v>
      </c>
      <c r="Q14" s="15">
        <f t="shared" si="33"/>
        <v>29.853120000000004</v>
      </c>
      <c r="R14" s="15">
        <f t="shared" si="33"/>
        <v>38.040319999999987</v>
      </c>
      <c r="U14" s="14">
        <f>+U12+U13</f>
        <v>-11.099999999999959</v>
      </c>
      <c r="V14" s="14">
        <f>+V12+V13</f>
        <v>79.080000000000041</v>
      </c>
      <c r="W14" s="14">
        <f t="shared" ref="W14" si="34">+W12+W13</f>
        <v>103.02224000000001</v>
      </c>
      <c r="X14" s="14">
        <f t="shared" ref="X14" si="35">+X12+X13</f>
        <v>126.74628200000006</v>
      </c>
      <c r="Y14" s="14">
        <f t="shared" ref="Y14" si="36">+Y12+Y13</f>
        <v>141.76376482000003</v>
      </c>
      <c r="Z14" s="14">
        <f t="shared" ref="Z14" si="37">+Z12+Z13</f>
        <v>167.53238646820006</v>
      </c>
      <c r="AA14" s="14">
        <f t="shared" ref="AA14" si="38">+AA12+AA13</f>
        <v>190.08334153288212</v>
      </c>
      <c r="AB14" s="14">
        <f t="shared" ref="AB14" si="39">+AB12+AB13</f>
        <v>216.83093238821081</v>
      </c>
      <c r="AC14" s="14">
        <f t="shared" ref="AC14" si="40">+AC12+AC13</f>
        <v>233.526977520093</v>
      </c>
      <c r="AD14" s="14">
        <f t="shared" ref="AD14" si="41">+AD12+AD13</f>
        <v>85.787652364093958</v>
      </c>
      <c r="AE14" s="14">
        <f t="shared" ref="AE14" si="42">+AE12+AE13</f>
        <v>72.474069394614872</v>
      </c>
      <c r="AF14" s="14">
        <f t="shared" ref="AF14" si="43">+AF12+AF13</f>
        <v>72.608664139248987</v>
      </c>
      <c r="AG14" s="14">
        <f t="shared" ref="AG14" si="44">+AG12+AG13</f>
        <v>74.09373618571027</v>
      </c>
    </row>
    <row r="15" spans="1:105" s="14" customFormat="1" x14ac:dyDescent="0.2">
      <c r="B15" s="14" t="s">
        <v>37</v>
      </c>
      <c r="C15" s="15"/>
      <c r="D15" s="15"/>
      <c r="E15" s="15"/>
      <c r="F15" s="15">
        <v>-3.5</v>
      </c>
      <c r="G15" s="15">
        <v>-4.5</v>
      </c>
      <c r="H15" s="15">
        <v>2.1</v>
      </c>
      <c r="I15" s="15">
        <v>-0.2</v>
      </c>
      <c r="J15" s="15">
        <v>0.7</v>
      </c>
      <c r="K15" s="15">
        <v>-4.2</v>
      </c>
      <c r="L15" s="15">
        <v>1.1000000000000001</v>
      </c>
      <c r="M15" s="15">
        <v>2.5</v>
      </c>
      <c r="N15" s="15">
        <v>2.9</v>
      </c>
      <c r="O15" s="14">
        <f>+O14*0.2</f>
        <v>2.1582399999999993</v>
      </c>
      <c r="P15" s="14">
        <f>+P14*0.2</f>
        <v>4.867519999999999</v>
      </c>
      <c r="Q15" s="14">
        <f>+Q14*0.2</f>
        <v>5.9706240000000008</v>
      </c>
      <c r="R15" s="14">
        <f>+R14*0.2</f>
        <v>7.6080639999999979</v>
      </c>
      <c r="U15" s="14">
        <f t="shared" si="30"/>
        <v>-1.9000000000000001</v>
      </c>
      <c r="V15" s="14">
        <f>+V14*0.15</f>
        <v>11.862000000000005</v>
      </c>
      <c r="W15" s="14">
        <f>SUM(O15:R15)</f>
        <v>20.604447999999998</v>
      </c>
      <c r="X15" s="14">
        <f t="shared" ref="X15" si="45">+X14*0.15</f>
        <v>19.011942300000008</v>
      </c>
      <c r="Y15" s="14">
        <f t="shared" ref="Y15" si="46">+Y14*0.15</f>
        <v>21.264564723000003</v>
      </c>
      <c r="Z15" s="14">
        <f t="shared" ref="Z15" si="47">+Z14*0.15</f>
        <v>25.12985797023001</v>
      </c>
      <c r="AA15" s="14">
        <f t="shared" ref="AA15" si="48">+AA14*0.15</f>
        <v>28.512501229932315</v>
      </c>
      <c r="AB15" s="14">
        <f t="shared" ref="AB15" si="49">+AB14*0.15</f>
        <v>32.524639858231623</v>
      </c>
      <c r="AC15" s="14">
        <f t="shared" ref="AC15" si="50">+AC14*0.15</f>
        <v>35.029046628013951</v>
      </c>
      <c r="AD15" s="14">
        <f t="shared" ref="AD15" si="51">+AD14*0.15</f>
        <v>12.868147854614094</v>
      </c>
      <c r="AE15" s="14">
        <f t="shared" ref="AE15" si="52">+AE14*0.15</f>
        <v>10.87111040919223</v>
      </c>
      <c r="AF15" s="14">
        <f t="shared" ref="AF15" si="53">+AF14*0.15</f>
        <v>10.891299620887347</v>
      </c>
      <c r="AG15" s="14">
        <f t="shared" ref="AG15" si="54">+AG14*0.15</f>
        <v>11.11406042785654</v>
      </c>
    </row>
    <row r="16" spans="1:105" x14ac:dyDescent="0.2">
      <c r="B16" t="s">
        <v>36</v>
      </c>
      <c r="F16" s="15">
        <f t="shared" ref="F16:L16" si="55">+F14-F15</f>
        <v>-13.199999999999996</v>
      </c>
      <c r="G16" s="15">
        <f t="shared" si="55"/>
        <v>-12.199999999999996</v>
      </c>
      <c r="H16" s="15">
        <f t="shared" si="55"/>
        <v>1.2999999999999985</v>
      </c>
      <c r="I16" s="15">
        <f t="shared" si="55"/>
        <v>3.5000000000000018</v>
      </c>
      <c r="J16" s="15">
        <f t="shared" si="55"/>
        <v>-1.7999999999999914</v>
      </c>
      <c r="K16" s="15">
        <f t="shared" si="55"/>
        <v>-12.400000000000002</v>
      </c>
      <c r="L16" s="15">
        <f t="shared" si="55"/>
        <v>-6.2999999999999989</v>
      </c>
      <c r="M16" s="15">
        <f>+M14-M15</f>
        <v>-1.0000000000000029</v>
      </c>
      <c r="N16" s="15">
        <f>+N14-N15</f>
        <v>4.2999999999999794</v>
      </c>
      <c r="O16" s="15">
        <f t="shared" ref="O16:R16" si="56">+O14-O15</f>
        <v>8.6329599999999971</v>
      </c>
      <c r="P16" s="15">
        <f t="shared" si="56"/>
        <v>19.470079999999996</v>
      </c>
      <c r="Q16" s="15">
        <f t="shared" si="56"/>
        <v>23.882496000000003</v>
      </c>
      <c r="R16" s="15">
        <f t="shared" si="56"/>
        <v>30.432255999999988</v>
      </c>
      <c r="U16" s="14">
        <f>+U14-U15</f>
        <v>-9.1999999999999584</v>
      </c>
      <c r="V16" s="14">
        <f>+V14-V15</f>
        <v>67.218000000000032</v>
      </c>
      <c r="W16" s="14">
        <f t="shared" ref="W16" si="57">+W14-W15</f>
        <v>82.41779200000002</v>
      </c>
      <c r="X16" s="14">
        <f t="shared" ref="X16" si="58">+X14-X15</f>
        <v>107.73433970000005</v>
      </c>
      <c r="Y16" s="14">
        <f t="shared" ref="Y16" si="59">+Y14-Y15</f>
        <v>120.49920009700003</v>
      </c>
      <c r="Z16" s="14">
        <f t="shared" ref="Z16" si="60">+Z14-Z15</f>
        <v>142.40252849797005</v>
      </c>
      <c r="AA16" s="14">
        <f t="shared" ref="AA16" si="61">+AA14-AA15</f>
        <v>161.57084030294979</v>
      </c>
      <c r="AB16" s="14">
        <f t="shared" ref="AB16" si="62">+AB14-AB15</f>
        <v>184.3062925299792</v>
      </c>
      <c r="AC16" s="14">
        <f t="shared" ref="AC16" si="63">+AC14-AC15</f>
        <v>198.49793089207904</v>
      </c>
      <c r="AD16" s="14">
        <f t="shared" ref="AD16" si="64">+AD14-AD15</f>
        <v>72.919504509479864</v>
      </c>
      <c r="AE16" s="14">
        <f t="shared" ref="AE16" si="65">+AE14-AE15</f>
        <v>61.602958985422646</v>
      </c>
      <c r="AF16" s="14">
        <f t="shared" ref="AF16" si="66">+AF14-AF15</f>
        <v>61.717364518361642</v>
      </c>
      <c r="AG16" s="14">
        <f t="shared" ref="AG16" si="67">+AG14-AG15</f>
        <v>62.979675757853727</v>
      </c>
      <c r="AH16" s="14">
        <f>+AG16*(1+$AJ$19)</f>
        <v>59.830691969961038</v>
      </c>
      <c r="AI16" s="14">
        <f t="shared" ref="AI16:CT16" si="68">+AH16*(1+$AJ$19)</f>
        <v>56.839157371462981</v>
      </c>
      <c r="AJ16" s="14">
        <f t="shared" si="68"/>
        <v>53.997199502889828</v>
      </c>
      <c r="AK16" s="14">
        <f t="shared" si="68"/>
        <v>51.297339527745336</v>
      </c>
      <c r="AL16" s="14">
        <f t="shared" si="68"/>
        <v>48.732472551358065</v>
      </c>
      <c r="AM16" s="14">
        <f t="shared" si="68"/>
        <v>46.29584892379016</v>
      </c>
      <c r="AN16" s="14">
        <f t="shared" si="68"/>
        <v>43.981056477600653</v>
      </c>
      <c r="AO16" s="14">
        <f t="shared" si="68"/>
        <v>41.782003653720615</v>
      </c>
      <c r="AP16" s="14">
        <f t="shared" si="68"/>
        <v>39.692903471034583</v>
      </c>
      <c r="AQ16" s="14">
        <f t="shared" si="68"/>
        <v>37.70825829748285</v>
      </c>
      <c r="AR16" s="14">
        <f t="shared" si="68"/>
        <v>35.822845382608705</v>
      </c>
      <c r="AS16" s="14">
        <f t="shared" si="68"/>
        <v>34.031703113478265</v>
      </c>
      <c r="AT16" s="14">
        <f t="shared" si="68"/>
        <v>32.330117957804347</v>
      </c>
      <c r="AU16" s="14">
        <f t="shared" si="68"/>
        <v>30.71361205991413</v>
      </c>
      <c r="AV16" s="14">
        <f t="shared" si="68"/>
        <v>29.177931456918422</v>
      </c>
      <c r="AW16" s="14">
        <f t="shared" si="68"/>
        <v>27.719034884072499</v>
      </c>
      <c r="AX16" s="14">
        <f t="shared" si="68"/>
        <v>26.333083139868872</v>
      </c>
      <c r="AY16" s="14">
        <f t="shared" si="68"/>
        <v>25.016428982875428</v>
      </c>
      <c r="AZ16" s="14">
        <f t="shared" si="68"/>
        <v>23.765607533731657</v>
      </c>
      <c r="BA16" s="14">
        <f t="shared" si="68"/>
        <v>22.577327157045072</v>
      </c>
      <c r="BB16" s="14">
        <f t="shared" si="68"/>
        <v>21.448460799192819</v>
      </c>
      <c r="BC16" s="14">
        <f t="shared" si="68"/>
        <v>20.376037759233178</v>
      </c>
      <c r="BD16" s="14">
        <f t="shared" si="68"/>
        <v>19.357235871271516</v>
      </c>
      <c r="BE16" s="14">
        <f t="shared" si="68"/>
        <v>18.389374077707942</v>
      </c>
      <c r="BF16" s="14">
        <f t="shared" si="68"/>
        <v>17.469905373822545</v>
      </c>
      <c r="BG16" s="14">
        <f t="shared" si="68"/>
        <v>16.596410105131419</v>
      </c>
      <c r="BH16" s="14">
        <f t="shared" si="68"/>
        <v>15.766589599874846</v>
      </c>
      <c r="BI16" s="14">
        <f t="shared" si="68"/>
        <v>14.978260119881103</v>
      </c>
      <c r="BJ16" s="14">
        <f t="shared" si="68"/>
        <v>14.229347113887048</v>
      </c>
      <c r="BK16" s="14">
        <f t="shared" si="68"/>
        <v>13.517879758192695</v>
      </c>
      <c r="BL16" s="14">
        <f t="shared" si="68"/>
        <v>12.84198577028306</v>
      </c>
      <c r="BM16" s="14">
        <f t="shared" si="68"/>
        <v>12.199886481768907</v>
      </c>
      <c r="BN16" s="14">
        <f t="shared" si="68"/>
        <v>11.589892157680461</v>
      </c>
      <c r="BO16" s="14">
        <f t="shared" si="68"/>
        <v>11.010397549796437</v>
      </c>
      <c r="BP16" s="14">
        <f t="shared" si="68"/>
        <v>10.459877672306614</v>
      </c>
      <c r="BQ16" s="14">
        <f t="shared" si="68"/>
        <v>9.9368837886912829</v>
      </c>
      <c r="BR16" s="14">
        <f t="shared" si="68"/>
        <v>9.4400395992567177</v>
      </c>
      <c r="BS16" s="14">
        <f t="shared" si="68"/>
        <v>8.9680376192938809</v>
      </c>
      <c r="BT16" s="14">
        <f t="shared" si="68"/>
        <v>8.5196357383291872</v>
      </c>
      <c r="BU16" s="14">
        <f t="shared" si="68"/>
        <v>8.0936539514127279</v>
      </c>
      <c r="BV16" s="14">
        <f t="shared" si="68"/>
        <v>7.6889712538420909</v>
      </c>
      <c r="BW16" s="14">
        <f t="shared" si="68"/>
        <v>7.3045226911499856</v>
      </c>
      <c r="BX16" s="14">
        <f t="shared" si="68"/>
        <v>6.9392965565924865</v>
      </c>
      <c r="BY16" s="14">
        <f t="shared" si="68"/>
        <v>6.5923317287628622</v>
      </c>
      <c r="BZ16" s="14">
        <f t="shared" si="68"/>
        <v>6.2627151423247192</v>
      </c>
      <c r="CA16" s="14">
        <f t="shared" si="68"/>
        <v>5.9495793852084828</v>
      </c>
      <c r="CB16" s="14">
        <f t="shared" si="68"/>
        <v>5.6521004159480581</v>
      </c>
      <c r="CC16" s="14">
        <f t="shared" si="68"/>
        <v>5.369495395150655</v>
      </c>
      <c r="CD16" s="14">
        <f t="shared" si="68"/>
        <v>5.1010206253931223</v>
      </c>
      <c r="CE16" s="14">
        <f t="shared" si="68"/>
        <v>4.8459695941234662</v>
      </c>
      <c r="CF16" s="14">
        <f t="shared" si="68"/>
        <v>4.6036711144172928</v>
      </c>
      <c r="CG16" s="14">
        <f t="shared" si="68"/>
        <v>4.3734875586964277</v>
      </c>
      <c r="CH16" s="14">
        <f t="shared" si="68"/>
        <v>4.1548131807616064</v>
      </c>
      <c r="CI16" s="14">
        <f t="shared" si="68"/>
        <v>3.9470725217235261</v>
      </c>
      <c r="CJ16" s="14">
        <f t="shared" si="68"/>
        <v>3.7497188956373497</v>
      </c>
      <c r="CK16" s="14">
        <f t="shared" si="68"/>
        <v>3.5622329508554822</v>
      </c>
      <c r="CL16" s="14">
        <f t="shared" si="68"/>
        <v>3.3841213033127078</v>
      </c>
      <c r="CM16" s="14">
        <f t="shared" si="68"/>
        <v>3.2149152381470723</v>
      </c>
      <c r="CN16" s="14">
        <f t="shared" si="68"/>
        <v>3.0541694762397187</v>
      </c>
      <c r="CO16" s="14">
        <f t="shared" si="68"/>
        <v>2.9014610024277325</v>
      </c>
      <c r="CP16" s="14">
        <f t="shared" si="68"/>
        <v>2.7563879523063459</v>
      </c>
      <c r="CQ16" s="14">
        <f t="shared" si="68"/>
        <v>2.6185685546910284</v>
      </c>
      <c r="CR16" s="14">
        <f t="shared" si="68"/>
        <v>2.4876401269564767</v>
      </c>
      <c r="CS16" s="14">
        <f t="shared" si="68"/>
        <v>2.3632581206086529</v>
      </c>
      <c r="CT16" s="14">
        <f t="shared" si="68"/>
        <v>2.2450952145782201</v>
      </c>
      <c r="CU16" s="14">
        <f t="shared" ref="CU16:DA16" si="69">+CT16*(1+$AJ$19)</f>
        <v>2.1328404538493091</v>
      </c>
      <c r="CV16" s="14">
        <f t="shared" si="69"/>
        <v>2.0261984311568435</v>
      </c>
      <c r="CW16" s="14">
        <f t="shared" si="69"/>
        <v>1.9248885095990012</v>
      </c>
      <c r="CX16" s="14">
        <f t="shared" si="69"/>
        <v>1.828644084119051</v>
      </c>
      <c r="CY16" s="14">
        <f t="shared" si="69"/>
        <v>1.7372118799130984</v>
      </c>
      <c r="CZ16" s="14">
        <f t="shared" si="69"/>
        <v>1.6503512859174434</v>
      </c>
      <c r="DA16" s="14">
        <f t="shared" si="69"/>
        <v>1.5678337216215712</v>
      </c>
    </row>
    <row r="17" spans="2:36" x14ac:dyDescent="0.2">
      <c r="L17" s="15"/>
    </row>
    <row r="19" spans="2:36" s="12" customFormat="1" x14ac:dyDescent="0.2">
      <c r="B19" s="12" t="s">
        <v>42</v>
      </c>
      <c r="C19" s="13"/>
      <c r="D19" s="13"/>
      <c r="E19" s="13"/>
      <c r="F19" s="13"/>
      <c r="G19" s="13"/>
      <c r="H19" s="13"/>
      <c r="I19" s="13"/>
      <c r="J19" s="18">
        <f t="shared" ref="J19:L19" si="70">+J5/F5-1</f>
        <v>0.48717948717948723</v>
      </c>
      <c r="K19" s="18">
        <f t="shared" si="70"/>
        <v>0.30823529411764694</v>
      </c>
      <c r="L19" s="18">
        <f t="shared" si="70"/>
        <v>0.3497267759562841</v>
      </c>
      <c r="M19" s="18">
        <f>+M5/I5-1</f>
        <v>0.1214392803598201</v>
      </c>
      <c r="N19" s="18">
        <f>+N5/J5-1</f>
        <v>0.14162561576354671</v>
      </c>
      <c r="O19" s="18">
        <f t="shared" ref="O19:R19" si="71">+O5/K5-1</f>
        <v>0.14640287769784166</v>
      </c>
      <c r="P19" s="18">
        <f t="shared" si="71"/>
        <v>0.11700404858299596</v>
      </c>
      <c r="Q19" s="18">
        <f t="shared" si="71"/>
        <v>0.12197860962566853</v>
      </c>
      <c r="R19" s="18">
        <f t="shared" si="71"/>
        <v>9.8856526429341951E-2</v>
      </c>
      <c r="W19" s="20">
        <f>+W5/V5-1</f>
        <v>0.11809555854643339</v>
      </c>
      <c r="X19" s="20">
        <f t="shared" ref="X19:AG19" si="72">+X5/W5-1</f>
        <v>6.0093590692691601E-2</v>
      </c>
      <c r="Y19" s="20">
        <f t="shared" si="72"/>
        <v>5.024731469296384E-2</v>
      </c>
      <c r="Z19" s="20">
        <f t="shared" si="72"/>
        <v>8.0189309935341235E-2</v>
      </c>
      <c r="AA19" s="20">
        <f t="shared" si="72"/>
        <v>6.5343937351343806E-2</v>
      </c>
      <c r="AB19" s="20">
        <f t="shared" si="72"/>
        <v>7.2339233831590022E-2</v>
      </c>
      <c r="AC19" s="20">
        <f t="shared" si="72"/>
        <v>4.3044517813813243E-2</v>
      </c>
      <c r="AD19" s="20">
        <f t="shared" si="72"/>
        <v>-0.3423612502386163</v>
      </c>
      <c r="AE19" s="20">
        <f t="shared" si="72"/>
        <v>-4.3579757939517294E-2</v>
      </c>
      <c r="AF19" s="20">
        <f t="shared" si="72"/>
        <v>4.3978854081876406E-3</v>
      </c>
      <c r="AG19" s="20">
        <f t="shared" si="72"/>
        <v>9.4422414987926917E-3</v>
      </c>
      <c r="AI19" s="12" t="s">
        <v>43</v>
      </c>
      <c r="AJ19" s="20">
        <v>-0.05</v>
      </c>
    </row>
    <row r="20" spans="2:36" x14ac:dyDescent="0.2">
      <c r="B20" t="s">
        <v>55</v>
      </c>
      <c r="F20" s="22">
        <f>+F7/F5</f>
        <v>0.88461538461538469</v>
      </c>
      <c r="G20" s="22">
        <f t="shared" ref="G20:R20" si="73">+G7/G5</f>
        <v>0.90588235294117647</v>
      </c>
      <c r="H20" s="22">
        <f t="shared" si="73"/>
        <v>0.89617486338797814</v>
      </c>
      <c r="I20" s="22">
        <f t="shared" si="73"/>
        <v>0.87556221889055474</v>
      </c>
      <c r="J20" s="22">
        <f t="shared" si="73"/>
        <v>0.91256157635467983</v>
      </c>
      <c r="K20" s="22">
        <f t="shared" si="73"/>
        <v>0.84892086330935257</v>
      </c>
      <c r="L20" s="22">
        <f t="shared" si="73"/>
        <v>0.89203778677462886</v>
      </c>
      <c r="M20" s="22">
        <f t="shared" si="73"/>
        <v>0.90909090909090917</v>
      </c>
      <c r="N20" s="22">
        <f t="shared" si="73"/>
        <v>0.8683926645091693</v>
      </c>
      <c r="O20" s="22">
        <f t="shared" si="73"/>
        <v>0.88</v>
      </c>
      <c r="P20" s="22">
        <f t="shared" si="73"/>
        <v>0.88</v>
      </c>
      <c r="Q20" s="22">
        <f t="shared" si="73"/>
        <v>0.88</v>
      </c>
      <c r="R20" s="22">
        <f t="shared" si="73"/>
        <v>0.88</v>
      </c>
      <c r="V20" s="22">
        <f t="shared" ref="V20:AG20" si="74">+V7/V5</f>
        <v>0.90000000000000013</v>
      </c>
      <c r="W20" s="22">
        <f t="shared" si="74"/>
        <v>0.88</v>
      </c>
      <c r="X20" s="22">
        <f t="shared" si="74"/>
        <v>0.9</v>
      </c>
      <c r="Y20" s="22">
        <f t="shared" si="74"/>
        <v>0.9</v>
      </c>
      <c r="Z20" s="22">
        <f t="shared" si="74"/>
        <v>0.9</v>
      </c>
      <c r="AA20" s="22">
        <f t="shared" si="74"/>
        <v>0.9</v>
      </c>
      <c r="AB20" s="22">
        <f t="shared" si="74"/>
        <v>0.9</v>
      </c>
      <c r="AC20" s="22">
        <f t="shared" si="74"/>
        <v>0.9</v>
      </c>
      <c r="AD20" s="22">
        <f t="shared" si="74"/>
        <v>0.9</v>
      </c>
      <c r="AE20" s="22">
        <f t="shared" si="74"/>
        <v>0.9</v>
      </c>
      <c r="AF20" s="22">
        <f t="shared" si="74"/>
        <v>0.9</v>
      </c>
      <c r="AG20" s="22">
        <f t="shared" si="74"/>
        <v>0.89999999999999991</v>
      </c>
      <c r="AI20" t="s">
        <v>44</v>
      </c>
      <c r="AJ20" s="21">
        <v>0.09</v>
      </c>
    </row>
    <row r="21" spans="2:36" x14ac:dyDescent="0.2">
      <c r="AI21" s="14" t="s">
        <v>45</v>
      </c>
      <c r="AJ21" s="14">
        <f>NPV(AJ20,W16:CF16)+Main!M5-Main!M6</f>
        <v>1051.6142792308772</v>
      </c>
    </row>
    <row r="22" spans="2:36" s="14" customFormat="1" x14ac:dyDescent="0.2">
      <c r="B22" s="14" t="s">
        <v>40</v>
      </c>
      <c r="C22" s="15"/>
      <c r="D22" s="15"/>
      <c r="E22" s="15"/>
      <c r="F22" s="15"/>
      <c r="G22" s="15"/>
      <c r="H22" s="15"/>
      <c r="I22" s="15"/>
      <c r="J22" s="15"/>
      <c r="K22" s="15">
        <v>-7.6470000000000002</v>
      </c>
      <c r="L22" s="15">
        <f>-20.868-K22</f>
        <v>-13.220999999999998</v>
      </c>
      <c r="M22" s="15">
        <v>9.7420000000000009</v>
      </c>
      <c r="N22" s="15">
        <f>-1.793-M22-L22-K22</f>
        <v>9.3329999999999984</v>
      </c>
      <c r="U22" s="14">
        <v>-17.302</v>
      </c>
      <c r="V22" s="14">
        <v>-1.7929999999999999</v>
      </c>
    </row>
    <row r="23" spans="2:36" x14ac:dyDescent="0.2">
      <c r="AJ23" s="1"/>
    </row>
  </sheetData>
  <hyperlinks>
    <hyperlink ref="A1" location="Main!A1" display="Main" xr:uid="{B74497A9-EEFF-45E3-90C2-CF1D38767AD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EE4D3-9729-4E35-9E5D-260C984FED24}">
  <dimension ref="A1:C7"/>
  <sheetViews>
    <sheetView workbookViewId="0">
      <selection activeCell="H7" sqref="H7"/>
    </sheetView>
  </sheetViews>
  <sheetFormatPr defaultRowHeight="12.75" x14ac:dyDescent="0.2"/>
  <cols>
    <col min="1" max="1" width="4.5703125" bestFit="1" customWidth="1"/>
    <col min="2" max="2" width="13.140625" customWidth="1"/>
  </cols>
  <sheetData>
    <row r="1" spans="1:3" x14ac:dyDescent="0.2">
      <c r="A1" s="19" t="s">
        <v>13</v>
      </c>
    </row>
    <row r="2" spans="1:3" x14ac:dyDescent="0.2">
      <c r="B2" t="s">
        <v>57</v>
      </c>
      <c r="C2" t="s">
        <v>50</v>
      </c>
    </row>
    <row r="4" spans="1:3" x14ac:dyDescent="0.2">
      <c r="B4" s="26" t="s">
        <v>58</v>
      </c>
    </row>
    <row r="6" spans="1:3" x14ac:dyDescent="0.2">
      <c r="B6" s="12" t="s">
        <v>59</v>
      </c>
    </row>
    <row r="7" spans="1:3" x14ac:dyDescent="0.2">
      <c r="B7" t="s">
        <v>60</v>
      </c>
    </row>
  </sheetData>
  <hyperlinks>
    <hyperlink ref="A1" location="Main!A1" display="Main" xr:uid="{C5190994-0947-45B6-A07B-D168E57187B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Model</vt:lpstr>
      <vt:lpstr>KL1333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Nichols Ringholm</dc:creator>
  <cp:lastModifiedBy>Sam Nichols Ringholm</cp:lastModifiedBy>
  <dcterms:created xsi:type="dcterms:W3CDTF">2024-10-17T18:09:59Z</dcterms:created>
  <dcterms:modified xsi:type="dcterms:W3CDTF">2025-10-15T07:53:48Z</dcterms:modified>
</cp:coreProperties>
</file>