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A39447EA-8EE7-4FB2-80FE-3124C5C9F03F}" xr6:coauthVersionLast="47" xr6:coauthVersionMax="47" xr10:uidLastSave="{00000000-0000-0000-0000-000000000000}"/>
  <bookViews>
    <workbookView xWindow="1560" yWindow="1560" windowWidth="18075" windowHeight="16020" activeTab="1" xr2:uid="{EE6F0585-64C4-4DD8-94A6-1511E034AFC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4" i="2" l="1"/>
  <c r="P114" i="2"/>
  <c r="Q114" i="2"/>
  <c r="R114" i="2"/>
  <c r="Q69" i="2"/>
  <c r="R69" i="2"/>
  <c r="S69" i="2"/>
  <c r="T69" i="2"/>
  <c r="U69" i="2"/>
  <c r="P59" i="2"/>
  <c r="P61" i="2" s="1"/>
  <c r="P63" i="2" s="1"/>
  <c r="P65" i="2" s="1"/>
  <c r="P67" i="2" s="1"/>
  <c r="Q59" i="2"/>
  <c r="Q61" i="2" s="1"/>
  <c r="Q63" i="2" s="1"/>
  <c r="Q65" i="2" s="1"/>
  <c r="Q67" i="2" s="1"/>
  <c r="R59" i="2"/>
  <c r="R61" i="2" s="1"/>
  <c r="R63" i="2" s="1"/>
  <c r="R65" i="2" s="1"/>
  <c r="R67" i="2" s="1"/>
  <c r="U114" i="2" l="1"/>
  <c r="T114" i="2"/>
  <c r="S114" i="2"/>
  <c r="T59" i="2"/>
  <c r="T61" i="2" s="1"/>
  <c r="T63" i="2" s="1"/>
  <c r="T65" i="2" s="1"/>
  <c r="T67" i="2" s="1"/>
  <c r="S59" i="2"/>
  <c r="S61" i="2" s="1"/>
  <c r="S63" i="2" s="1"/>
  <c r="S65" i="2" s="1"/>
  <c r="S67" i="2" s="1"/>
  <c r="U38" i="2"/>
  <c r="U35" i="2"/>
  <c r="U32" i="2"/>
  <c r="T20" i="2"/>
  <c r="U29" i="2"/>
  <c r="U26" i="2"/>
  <c r="U23" i="2"/>
  <c r="U20" i="2"/>
  <c r="U17" i="2"/>
  <c r="U57" i="2"/>
  <c r="U59" i="2" s="1"/>
  <c r="U61" i="2" s="1"/>
  <c r="U63" i="2" s="1"/>
  <c r="U65" i="2" s="1"/>
  <c r="U67" i="2" s="1"/>
  <c r="S2" i="2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J59" i="2"/>
  <c r="J61" i="2" s="1"/>
  <c r="J63" i="2" s="1"/>
  <c r="J65" i="2" s="1"/>
  <c r="J67" i="2" s="1"/>
  <c r="K106" i="2"/>
  <c r="K110" i="2" s="1"/>
  <c r="K104" i="2"/>
  <c r="K95" i="2"/>
  <c r="K97" i="2"/>
  <c r="K87" i="2"/>
  <c r="K85" i="2"/>
  <c r="K83" i="2"/>
  <c r="K72" i="2"/>
  <c r="K78" i="2"/>
  <c r="K7" i="1"/>
  <c r="K69" i="2"/>
  <c r="K59" i="2"/>
  <c r="K61" i="2" s="1"/>
  <c r="K63" i="2" s="1"/>
  <c r="K65" i="2" s="1"/>
  <c r="K67" i="2" s="1"/>
  <c r="K92" i="2" s="1"/>
  <c r="H57" i="2"/>
  <c r="H59" i="2" s="1"/>
  <c r="H61" i="2" s="1"/>
  <c r="H63" i="2" s="1"/>
  <c r="H65" i="2" s="1"/>
  <c r="H67" i="2" s="1"/>
  <c r="L57" i="2"/>
  <c r="L87" i="2"/>
  <c r="L83" i="2"/>
  <c r="L85" i="2"/>
  <c r="L72" i="2"/>
  <c r="L78" i="2"/>
  <c r="K4" i="1"/>
  <c r="K98" i="2" l="1"/>
  <c r="K112" i="2" s="1"/>
  <c r="L71" i="2"/>
  <c r="K71" i="2"/>
  <c r="K81" i="2"/>
  <c r="K90" i="2"/>
  <c r="G59" i="2"/>
  <c r="G61" i="2" s="1"/>
  <c r="G63" i="2" s="1"/>
  <c r="G65" i="2" s="1"/>
  <c r="G67" i="2" s="1"/>
  <c r="L69" i="2"/>
  <c r="L59" i="2"/>
  <c r="L61" i="2" s="1"/>
  <c r="L63" i="2" s="1"/>
  <c r="L65" i="2" s="1"/>
  <c r="L67" i="2" s="1"/>
  <c r="L90" i="2"/>
  <c r="L81" i="2"/>
</calcChain>
</file>

<file path=xl/sharedStrings.xml><?xml version="1.0" encoding="utf-8"?>
<sst xmlns="http://schemas.openxmlformats.org/spreadsheetml/2006/main" count="126" uniqueCount="113">
  <si>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</si>
  <si>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</si>
  <si>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</si>
  <si>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</si>
  <si>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</si>
  <si>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</si>
  <si>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</si>
  <si>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</si>
  <si>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</si>
  <si>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</si>
  <si>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</si>
  <si>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</si>
  <si>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</si>
  <si>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</si>
  <si>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</si>
  <si>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</si>
  <si>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</si>
  <si>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</si>
  <si>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</si>
  <si>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</si>
  <si>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COGS</t>
  </si>
  <si>
    <t>Gross Profit</t>
  </si>
  <si>
    <t>Operating Expenses</t>
  </si>
  <si>
    <t>Operating Income</t>
  </si>
  <si>
    <t>Interest Expense</t>
  </si>
  <si>
    <t>Pretax Income</t>
  </si>
  <si>
    <t>Taxes</t>
  </si>
  <si>
    <t>Net Income</t>
  </si>
  <si>
    <t>MI</t>
  </si>
  <si>
    <t>NI - MI</t>
  </si>
  <si>
    <t>AR</t>
  </si>
  <si>
    <t>Other Receivables</t>
  </si>
  <si>
    <t>Inventories</t>
  </si>
  <si>
    <t>OCA</t>
  </si>
  <si>
    <t>PP&amp;E</t>
  </si>
  <si>
    <t>Goodwill</t>
  </si>
  <si>
    <t>DT</t>
  </si>
  <si>
    <t>OA</t>
  </si>
  <si>
    <t>Assets</t>
  </si>
  <si>
    <t>AP</t>
  </si>
  <si>
    <t>AL</t>
  </si>
  <si>
    <t>Other</t>
  </si>
  <si>
    <t>S/E</t>
  </si>
  <si>
    <t>Employment</t>
  </si>
  <si>
    <t>L+S/E</t>
  </si>
  <si>
    <t>Wellness</t>
  </si>
  <si>
    <t>Europe</t>
  </si>
  <si>
    <t>SSEA, CIS &amp; MEA</t>
  </si>
  <si>
    <t>EA, AU &amp; PMI DF</t>
  </si>
  <si>
    <t>Americas</t>
  </si>
  <si>
    <t>Combustible</t>
  </si>
  <si>
    <t>Smoke-free</t>
  </si>
  <si>
    <t>Net Cash</t>
  </si>
  <si>
    <t>Model NI</t>
  </si>
  <si>
    <t>Reported NI</t>
  </si>
  <si>
    <t>CFFO</t>
  </si>
  <si>
    <t>D&amp;A</t>
  </si>
  <si>
    <t>Impairment</t>
  </si>
  <si>
    <t>WC</t>
  </si>
  <si>
    <t>CFFI</t>
  </si>
  <si>
    <t>CapEx</t>
  </si>
  <si>
    <t>Investments</t>
  </si>
  <si>
    <t>Collateral</t>
  </si>
  <si>
    <t>CIC</t>
  </si>
  <si>
    <t>FX</t>
  </si>
  <si>
    <t>CFFF</t>
  </si>
  <si>
    <t>Dividends</t>
  </si>
  <si>
    <t>NCI</t>
  </si>
  <si>
    <t>HTU Volume</t>
  </si>
  <si>
    <t>IQOS</t>
  </si>
  <si>
    <t>Zyn</t>
  </si>
  <si>
    <t>Zyn (cans)</t>
  </si>
  <si>
    <t>CEO: Jacek Olczak</t>
  </si>
  <si>
    <t>Marlboro</t>
  </si>
  <si>
    <t>Pouches</t>
  </si>
  <si>
    <t>Snus</t>
  </si>
  <si>
    <t>Moist Snuff</t>
  </si>
  <si>
    <t>Swedish Match</t>
  </si>
  <si>
    <t>Cig Volume</t>
  </si>
  <si>
    <t xml:space="preserve">  France</t>
  </si>
  <si>
    <t xml:space="preserve">  Germany</t>
  </si>
  <si>
    <t xml:space="preserve">  Italy</t>
  </si>
  <si>
    <t xml:space="preserve">  Poland</t>
  </si>
  <si>
    <t xml:space="preserve">  Spain</t>
  </si>
  <si>
    <t xml:space="preserve">  Egypt</t>
  </si>
  <si>
    <t xml:space="preserve">  Indonesia</t>
  </si>
  <si>
    <t xml:space="preserve">  Philippines</t>
  </si>
  <si>
    <t xml:space="preserve">  Russia</t>
  </si>
  <si>
    <t xml:space="preserve">  Turkey</t>
  </si>
  <si>
    <t xml:space="preserve">  Australia</t>
  </si>
  <si>
    <t xml:space="preserve">  Japan</t>
  </si>
  <si>
    <t xml:space="preserve">  South Korea</t>
  </si>
  <si>
    <t xml:space="preserve">  Argentina</t>
  </si>
  <si>
    <t xml:space="preserve">  Mexico</t>
  </si>
  <si>
    <t xml:space="preserve">  Indonesia Pop</t>
  </si>
  <si>
    <t xml:space="preserve">  Indonesia Cigs/Pop</t>
  </si>
  <si>
    <t xml:space="preserve">  Turkey Pop</t>
  </si>
  <si>
    <t xml:space="preserve">  Turkey Cigs/Pop</t>
  </si>
  <si>
    <t xml:space="preserve">  Russia Pop</t>
  </si>
  <si>
    <t xml:space="preserve">  Russia Cigs/Pop</t>
  </si>
  <si>
    <t xml:space="preserve">  Japan Pop</t>
  </si>
  <si>
    <t xml:space="preserve">  Japan Cigs/Pop</t>
  </si>
  <si>
    <t xml:space="preserve">  Italy Pop</t>
  </si>
  <si>
    <t xml:space="preserve">  Italy Cigs/Pop</t>
  </si>
  <si>
    <t xml:space="preserve">  Germany Pop</t>
  </si>
  <si>
    <t xml:space="preserve">  Germany Cigs/Pop</t>
  </si>
  <si>
    <t xml:space="preserve">  Egypt Population</t>
  </si>
  <si>
    <t xml:space="preserve">  Egypt Cigs/Pop</t>
  </si>
  <si>
    <t xml:space="preserve">  Philippines Pop</t>
  </si>
  <si>
    <t xml:space="preserve">  Philippines Cigs/Pop</t>
  </si>
  <si>
    <t>Revenue Growth %</t>
  </si>
  <si>
    <t>FCF</t>
  </si>
  <si>
    <t>Swedish Match acquired for $13,976,000,000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</si>
</sst>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9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831867CD-AF7D-449C-9121-6762D25F1C0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AC0CE-91B5-4479-9CA1-E3528A2A33A8}">
  <dimension ref="B2:L10"/>
  <sheetViews>
    <sheetView zoomScaleNormal="100" workbookViewId="0">
      <selection activeCell="M18" sqref="M18"/>
    </sheetView>
  </sheetViews>
  <sheetFormatPr defaultRowHeight="12.75" x14ac:dyDescent="0.2"/>
  <sheetData>
    <row r="2" spans="2:12" x14ac:dyDescent="0.2">
      <c r="J2" t="s">
        <v>0</v>
      </c>
      <c r="K2" s="1">
        <v>119.72</v>
      </c>
    </row>
    <row r="3" spans="2:12" x14ac:dyDescent="0.2">
      <c r="B3" t="s">
        <v>69</v>
      </c>
      <c r="J3" t="s">
        <v>1</v>
      </c>
      <c r="K3" s="2">
        <v>1554.8015339999999</v>
      </c>
      <c r="L3" s="3" t="s">
        <v>6</v>
      </c>
    </row>
    <row r="4" spans="2:12" x14ac:dyDescent="0.2">
      <c r="B4" t="s">
        <v>73</v>
      </c>
      <c r="J4" t="s">
        <v>2</v>
      </c>
      <c r="K4" s="2">
        <f>+K2*K3</f>
        <v>186140.83965047999</v>
      </c>
    </row>
    <row r="5" spans="2:12" x14ac:dyDescent="0.2">
      <c r="J5" t="s">
        <v>3</v>
      </c>
      <c r="K5" s="2">
        <v>9768</v>
      </c>
      <c r="L5" s="3" t="s">
        <v>6</v>
      </c>
    </row>
    <row r="6" spans="2:12" x14ac:dyDescent="0.2">
      <c r="J6" t="s">
        <v>4</v>
      </c>
      <c r="K6" s="2">
        <v>49139</v>
      </c>
      <c r="L6" s="3" t="s">
        <v>6</v>
      </c>
    </row>
    <row r="7" spans="2:12" x14ac:dyDescent="0.2">
      <c r="J7" t="s">
        <v>5</v>
      </c>
      <c r="K7" s="2">
        <f>+K4-K5+K6</f>
        <v>225511.83965047999</v>
      </c>
    </row>
    <row r="9" spans="2:12" x14ac:dyDescent="0.2">
      <c r="J9" t="s">
        <v>72</v>
      </c>
    </row>
    <row r="10" spans="2:12" x14ac:dyDescent="0.2">
      <c r="J10" t="s">
        <v>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5F01A-0CF2-445C-899E-C7E0CFF7BE0D}">
  <dimension ref="A1:AG114"/>
  <sheetViews>
    <sheetView tabSelected="1" zoomScaleNormal="100" workbookViewId="0">
      <pane xSplit="2" ySplit="2" topLeftCell="H54" activePane="bottomRight" state="frozen"/>
      <selection pane="topRight" activeCell="C1" sqref="C1"/>
      <selection pane="bottomLeft" activeCell="A3" sqref="A3"/>
      <selection pane="bottomRight" activeCell="L71" sqref="L71"/>
    </sheetView>
  </sheetViews>
  <sheetFormatPr defaultRowHeight="12.75" x14ac:dyDescent="0.2"/>
  <cols>
    <col min="1" max="1" width="5" bestFit="1" customWidth="1"/>
    <col min="2" max="2" width="19.42578125" customWidth="1"/>
    <col min="3" max="14" width="9.140625" style="3"/>
  </cols>
  <sheetData>
    <row r="1" spans="1:33" x14ac:dyDescent="0.2">
      <c r="A1" s="10" t="s">
        <v>7</v>
      </c>
    </row>
    <row r="2" spans="1:33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6</v>
      </c>
      <c r="M2" s="3" t="s">
        <v>18</v>
      </c>
      <c r="N2" s="3" t="s">
        <v>19</v>
      </c>
      <c r="P2">
        <v>2018</v>
      </c>
      <c r="Q2">
        <v>2019</v>
      </c>
      <c r="R2">
        <v>2020</v>
      </c>
      <c r="S2">
        <f t="shared" ref="S2:AG2" si="0">+R2+1</f>
        <v>2021</v>
      </c>
      <c r="T2">
        <f t="shared" si="0"/>
        <v>2022</v>
      </c>
      <c r="U2">
        <f t="shared" si="0"/>
        <v>2023</v>
      </c>
      <c r="V2">
        <f t="shared" si="0"/>
        <v>2024</v>
      </c>
      <c r="W2">
        <f t="shared" si="0"/>
        <v>2025</v>
      </c>
      <c r="X2">
        <f t="shared" si="0"/>
        <v>2026</v>
      </c>
      <c r="Y2">
        <f t="shared" si="0"/>
        <v>2027</v>
      </c>
      <c r="Z2">
        <f t="shared" si="0"/>
        <v>2028</v>
      </c>
      <c r="AA2">
        <f t="shared" si="0"/>
        <v>2029</v>
      </c>
      <c r="AB2">
        <f t="shared" si="0"/>
        <v>2030</v>
      </c>
      <c r="AC2">
        <f t="shared" si="0"/>
        <v>2031</v>
      </c>
      <c r="AD2">
        <f t="shared" si="0"/>
        <v>2032</v>
      </c>
      <c r="AE2">
        <f t="shared" si="0"/>
        <v>2033</v>
      </c>
      <c r="AF2">
        <f t="shared" si="0"/>
        <v>2034</v>
      </c>
      <c r="AG2">
        <f t="shared" si="0"/>
        <v>2035</v>
      </c>
    </row>
    <row r="3" spans="1:33" x14ac:dyDescent="0.2">
      <c r="B3" t="s">
        <v>46</v>
      </c>
      <c r="H3" s="6">
        <v>3574</v>
      </c>
      <c r="L3" s="6">
        <v>3815</v>
      </c>
      <c r="U3" s="2">
        <v>13598</v>
      </c>
    </row>
    <row r="4" spans="1:33" x14ac:dyDescent="0.2">
      <c r="B4" t="s">
        <v>47</v>
      </c>
      <c r="H4" s="6">
        <v>2668</v>
      </c>
      <c r="L4" s="6">
        <v>2771</v>
      </c>
      <c r="U4" s="2">
        <v>10629</v>
      </c>
    </row>
    <row r="5" spans="1:33" x14ac:dyDescent="0.2">
      <c r="B5" t="s">
        <v>48</v>
      </c>
      <c r="H5" s="6">
        <v>1680</v>
      </c>
      <c r="L5" s="6">
        <v>1673</v>
      </c>
      <c r="U5" s="2">
        <v>6201</v>
      </c>
    </row>
    <row r="6" spans="1:33" x14ac:dyDescent="0.2">
      <c r="B6" t="s">
        <v>49</v>
      </c>
      <c r="H6" s="6">
        <v>969</v>
      </c>
      <c r="L6" s="6">
        <v>1129</v>
      </c>
      <c r="U6" s="2">
        <v>1944</v>
      </c>
    </row>
    <row r="7" spans="1:33" x14ac:dyDescent="0.2">
      <c r="B7" t="s">
        <v>77</v>
      </c>
      <c r="H7" s="6"/>
      <c r="L7" s="6"/>
      <c r="U7" s="2">
        <v>2496</v>
      </c>
    </row>
    <row r="8" spans="1:33" x14ac:dyDescent="0.2">
      <c r="B8" t="s">
        <v>45</v>
      </c>
      <c r="H8" s="6">
        <v>76</v>
      </c>
      <c r="L8" s="6">
        <v>80</v>
      </c>
      <c r="U8" s="2">
        <v>306</v>
      </c>
    </row>
    <row r="9" spans="1:33" x14ac:dyDescent="0.2">
      <c r="H9" s="6"/>
      <c r="L9" s="6"/>
    </row>
    <row r="10" spans="1:33" x14ac:dyDescent="0.2">
      <c r="B10" t="s">
        <v>71</v>
      </c>
      <c r="H10" s="6">
        <v>65.3</v>
      </c>
      <c r="L10" s="6">
        <v>116.3</v>
      </c>
    </row>
    <row r="11" spans="1:33" x14ac:dyDescent="0.2">
      <c r="B11" t="s">
        <v>69</v>
      </c>
      <c r="H11" s="6"/>
      <c r="L11" s="8">
        <v>1.2</v>
      </c>
    </row>
    <row r="12" spans="1:33" x14ac:dyDescent="0.2">
      <c r="H12" s="6"/>
      <c r="L12" s="6"/>
    </row>
    <row r="13" spans="1:33" x14ac:dyDescent="0.2">
      <c r="B13" t="s">
        <v>78</v>
      </c>
      <c r="H13" s="6">
        <v>154026</v>
      </c>
      <c r="L13" s="6">
        <v>151094</v>
      </c>
      <c r="S13" s="2">
        <v>624875</v>
      </c>
      <c r="T13" s="2">
        <v>621908</v>
      </c>
      <c r="U13" s="2">
        <v>612949</v>
      </c>
    </row>
    <row r="14" spans="1:33" x14ac:dyDescent="0.2">
      <c r="B14" t="s">
        <v>68</v>
      </c>
      <c r="H14" s="6">
        <v>32021</v>
      </c>
      <c r="L14" s="6">
        <v>33972</v>
      </c>
      <c r="S14" s="2">
        <v>94976</v>
      </c>
      <c r="T14" s="2">
        <v>109169</v>
      </c>
      <c r="U14" s="2">
        <v>125263</v>
      </c>
    </row>
    <row r="15" spans="1:33" x14ac:dyDescent="0.2">
      <c r="B15" t="s">
        <v>85</v>
      </c>
      <c r="H15" s="6"/>
      <c r="L15" s="6"/>
      <c r="S15" s="2"/>
      <c r="T15" s="2">
        <v>86.8</v>
      </c>
      <c r="U15" s="2">
        <v>83.4</v>
      </c>
    </row>
    <row r="16" spans="1:33" x14ac:dyDescent="0.2">
      <c r="B16" t="s">
        <v>94</v>
      </c>
      <c r="H16" s="6"/>
      <c r="L16" s="6"/>
      <c r="S16" s="2"/>
      <c r="T16" s="2"/>
      <c r="U16" s="2">
        <v>275.5</v>
      </c>
    </row>
    <row r="17" spans="2:21" x14ac:dyDescent="0.2">
      <c r="B17" t="s">
        <v>95</v>
      </c>
      <c r="H17" s="6"/>
      <c r="L17" s="6"/>
      <c r="S17" s="2"/>
      <c r="T17" s="2"/>
      <c r="U17" s="4">
        <f>+U15*1000/U16</f>
        <v>302.72232304900183</v>
      </c>
    </row>
    <row r="18" spans="2:21" x14ac:dyDescent="0.2">
      <c r="B18" t="s">
        <v>88</v>
      </c>
      <c r="H18" s="6"/>
      <c r="L18" s="6"/>
      <c r="S18" s="2"/>
      <c r="T18" s="2">
        <v>56.1</v>
      </c>
      <c r="U18" s="2">
        <v>69</v>
      </c>
    </row>
    <row r="19" spans="2:21" x14ac:dyDescent="0.2">
      <c r="B19" t="s">
        <v>96</v>
      </c>
      <c r="H19" s="6"/>
      <c r="L19" s="6"/>
      <c r="S19" s="2"/>
      <c r="T19" s="2">
        <v>84.98</v>
      </c>
      <c r="U19" s="2">
        <v>84.98</v>
      </c>
    </row>
    <row r="20" spans="2:21" x14ac:dyDescent="0.2">
      <c r="B20" t="s">
        <v>97</v>
      </c>
      <c r="H20" s="6"/>
      <c r="L20" s="6"/>
      <c r="S20" s="2"/>
      <c r="T20" s="4">
        <f>+T18*1000/T19</f>
        <v>660.15533066603905</v>
      </c>
      <c r="U20" s="4">
        <f>+U18*1000/U19</f>
        <v>811.95575429512826</v>
      </c>
    </row>
    <row r="21" spans="2:21" x14ac:dyDescent="0.2">
      <c r="B21" t="s">
        <v>87</v>
      </c>
      <c r="H21" s="6"/>
      <c r="L21" s="6"/>
      <c r="S21" s="2"/>
      <c r="T21" s="2">
        <v>64.7</v>
      </c>
      <c r="U21" s="2">
        <v>64.8</v>
      </c>
    </row>
    <row r="22" spans="2:21" x14ac:dyDescent="0.2">
      <c r="B22" t="s">
        <v>98</v>
      </c>
      <c r="H22" s="6"/>
      <c r="L22" s="6"/>
      <c r="S22" s="2"/>
      <c r="T22" s="2"/>
      <c r="U22" s="2">
        <v>144.19999999999999</v>
      </c>
    </row>
    <row r="23" spans="2:21" x14ac:dyDescent="0.2">
      <c r="B23" t="s">
        <v>99</v>
      </c>
      <c r="H23" s="6"/>
      <c r="L23" s="6"/>
      <c r="S23" s="2"/>
      <c r="T23" s="2"/>
      <c r="U23" s="4">
        <f>+U21*1000/U22</f>
        <v>449.37586685159505</v>
      </c>
    </row>
    <row r="24" spans="2:21" x14ac:dyDescent="0.2">
      <c r="B24" t="s">
        <v>90</v>
      </c>
      <c r="H24" s="6"/>
      <c r="L24" s="6"/>
      <c r="S24" s="2"/>
      <c r="T24" s="2">
        <v>55.5</v>
      </c>
      <c r="U24" s="2">
        <v>60.96</v>
      </c>
    </row>
    <row r="25" spans="2:21" x14ac:dyDescent="0.2">
      <c r="B25" t="s">
        <v>100</v>
      </c>
      <c r="H25" s="6"/>
      <c r="L25" s="6"/>
      <c r="S25" s="2"/>
      <c r="T25" s="2"/>
      <c r="U25" s="2">
        <v>125.1</v>
      </c>
    </row>
    <row r="26" spans="2:21" x14ac:dyDescent="0.2">
      <c r="B26" t="s">
        <v>101</v>
      </c>
      <c r="H26" s="6"/>
      <c r="L26" s="6"/>
      <c r="S26" s="2"/>
      <c r="T26" s="2"/>
      <c r="U26" s="4">
        <f>+U24*1000/U25</f>
        <v>487.29016786570747</v>
      </c>
    </row>
    <row r="27" spans="2:21" x14ac:dyDescent="0.2">
      <c r="B27" t="s">
        <v>81</v>
      </c>
      <c r="H27" s="6"/>
      <c r="L27" s="6"/>
      <c r="S27" s="2"/>
      <c r="T27" s="2">
        <v>40.799999999999997</v>
      </c>
      <c r="U27" s="2">
        <v>39.700000000000003</v>
      </c>
    </row>
    <row r="28" spans="2:21" x14ac:dyDescent="0.2">
      <c r="B28" t="s">
        <v>102</v>
      </c>
      <c r="H28" s="6"/>
      <c r="L28" s="6"/>
      <c r="S28" s="2"/>
      <c r="T28" s="2"/>
      <c r="U28" s="2">
        <v>58.94</v>
      </c>
    </row>
    <row r="29" spans="2:21" x14ac:dyDescent="0.2">
      <c r="B29" t="s">
        <v>103</v>
      </c>
      <c r="H29" s="6"/>
      <c r="L29" s="6"/>
      <c r="S29" s="2"/>
      <c r="T29" s="2"/>
      <c r="U29" s="4">
        <f>+U27*1000/U28</f>
        <v>673.56633864947412</v>
      </c>
    </row>
    <row r="30" spans="2:21" x14ac:dyDescent="0.2">
      <c r="B30" t="s">
        <v>80</v>
      </c>
      <c r="H30" s="6"/>
      <c r="L30" s="6"/>
      <c r="S30" s="2"/>
      <c r="T30" s="2">
        <v>28.2</v>
      </c>
      <c r="U30" s="2">
        <v>26.5</v>
      </c>
    </row>
    <row r="31" spans="2:21" x14ac:dyDescent="0.2">
      <c r="B31" t="s">
        <v>104</v>
      </c>
      <c r="H31" s="6"/>
      <c r="L31" s="6"/>
      <c r="S31" s="2"/>
      <c r="T31" s="2"/>
      <c r="U31" s="2">
        <v>83.8</v>
      </c>
    </row>
    <row r="32" spans="2:21" x14ac:dyDescent="0.2">
      <c r="B32" t="s">
        <v>105</v>
      </c>
      <c r="H32" s="6"/>
      <c r="L32" s="6"/>
      <c r="S32" s="2"/>
      <c r="T32" s="2"/>
      <c r="U32" s="4">
        <f>+U30*1000/U31</f>
        <v>316.22911694510742</v>
      </c>
    </row>
    <row r="33" spans="2:21" x14ac:dyDescent="0.2">
      <c r="B33" t="s">
        <v>84</v>
      </c>
      <c r="H33" s="6"/>
      <c r="L33" s="6"/>
      <c r="S33" s="2"/>
      <c r="T33" s="2">
        <v>21</v>
      </c>
      <c r="U33" s="2">
        <v>24.3</v>
      </c>
    </row>
    <row r="34" spans="2:21" x14ac:dyDescent="0.2">
      <c r="B34" t="s">
        <v>106</v>
      </c>
      <c r="H34" s="6"/>
      <c r="L34" s="6"/>
      <c r="S34" s="2"/>
      <c r="T34" s="2"/>
      <c r="U34" s="2">
        <v>111</v>
      </c>
    </row>
    <row r="35" spans="2:21" x14ac:dyDescent="0.2">
      <c r="B35" t="s">
        <v>107</v>
      </c>
      <c r="H35" s="6"/>
      <c r="L35" s="6"/>
      <c r="S35" s="2"/>
      <c r="T35" s="2"/>
      <c r="U35" s="4">
        <f>+U33*1000/U34</f>
        <v>218.91891891891891</v>
      </c>
    </row>
    <row r="36" spans="2:21" x14ac:dyDescent="0.2">
      <c r="B36" t="s">
        <v>86</v>
      </c>
      <c r="H36" s="6"/>
      <c r="L36" s="6"/>
      <c r="S36" s="2"/>
      <c r="T36" s="2">
        <v>32.200000000000003</v>
      </c>
      <c r="U36" s="2">
        <v>23.8</v>
      </c>
    </row>
    <row r="37" spans="2:21" x14ac:dyDescent="0.2">
      <c r="B37" t="s">
        <v>108</v>
      </c>
      <c r="H37" s="6"/>
      <c r="L37" s="6"/>
      <c r="S37" s="2"/>
      <c r="T37" s="2"/>
      <c r="U37" s="2">
        <v>115.6</v>
      </c>
    </row>
    <row r="38" spans="2:21" x14ac:dyDescent="0.2">
      <c r="B38" t="s">
        <v>109</v>
      </c>
      <c r="H38" s="6"/>
      <c r="L38" s="6"/>
      <c r="S38" s="2"/>
      <c r="T38" s="2"/>
      <c r="U38" s="4">
        <f>+U36*1000/U37</f>
        <v>205.88235294117649</v>
      </c>
    </row>
    <row r="39" spans="2:21" x14ac:dyDescent="0.2">
      <c r="B39" t="s">
        <v>82</v>
      </c>
      <c r="H39" s="6"/>
      <c r="L39" s="6"/>
      <c r="S39" s="2"/>
      <c r="T39" s="2">
        <v>21.7</v>
      </c>
      <c r="U39" s="2">
        <v>23.7</v>
      </c>
    </row>
    <row r="40" spans="2:21" x14ac:dyDescent="0.2">
      <c r="B40" t="s">
        <v>93</v>
      </c>
      <c r="H40" s="6"/>
      <c r="L40" s="6"/>
      <c r="S40" s="2"/>
      <c r="T40" s="2">
        <v>21</v>
      </c>
      <c r="U40" s="2">
        <v>18.899999999999999</v>
      </c>
    </row>
    <row r="41" spans="2:21" x14ac:dyDescent="0.2">
      <c r="B41" t="s">
        <v>92</v>
      </c>
      <c r="H41" s="6"/>
      <c r="L41" s="6"/>
      <c r="S41" s="2"/>
      <c r="T41" s="2">
        <v>19.3</v>
      </c>
      <c r="U41" s="2">
        <v>17.8</v>
      </c>
    </row>
    <row r="42" spans="2:21" x14ac:dyDescent="0.2">
      <c r="B42" t="s">
        <v>91</v>
      </c>
      <c r="H42" s="6"/>
      <c r="L42" s="6"/>
      <c r="S42" s="2"/>
      <c r="T42" s="2">
        <v>13.9</v>
      </c>
      <c r="U42" s="2">
        <v>14</v>
      </c>
    </row>
    <row r="43" spans="2:21" x14ac:dyDescent="0.2">
      <c r="B43" t="s">
        <v>79</v>
      </c>
      <c r="H43" s="6"/>
      <c r="L43" s="6"/>
      <c r="S43" s="2"/>
      <c r="T43" s="2">
        <v>14</v>
      </c>
      <c r="U43" s="2">
        <v>13</v>
      </c>
    </row>
    <row r="44" spans="2:21" x14ac:dyDescent="0.2">
      <c r="B44" t="s">
        <v>83</v>
      </c>
      <c r="H44" s="6"/>
      <c r="L44" s="6"/>
      <c r="S44" s="2"/>
      <c r="T44" s="2">
        <v>13.6</v>
      </c>
      <c r="U44" s="2">
        <v>12.9</v>
      </c>
    </row>
    <row r="45" spans="2:21" x14ac:dyDescent="0.2">
      <c r="B45" t="s">
        <v>89</v>
      </c>
      <c r="H45" s="6"/>
      <c r="L45" s="6"/>
      <c r="S45" s="2"/>
      <c r="T45" s="2">
        <v>3</v>
      </c>
      <c r="U45" s="2">
        <v>2.5</v>
      </c>
    </row>
    <row r="46" spans="2:21" x14ac:dyDescent="0.2">
      <c r="H46" s="6"/>
      <c r="L46" s="6"/>
      <c r="S46" s="2"/>
      <c r="T46" s="2"/>
      <c r="U46" s="2"/>
    </row>
    <row r="47" spans="2:21" x14ac:dyDescent="0.2">
      <c r="B47" t="s">
        <v>74</v>
      </c>
      <c r="H47" s="6">
        <v>39.799999999999997</v>
      </c>
      <c r="L47" s="6">
        <v>125.7</v>
      </c>
      <c r="S47" s="2">
        <v>1.1000000000000001</v>
      </c>
      <c r="T47" s="2">
        <v>42.5</v>
      </c>
      <c r="U47" s="2">
        <v>421.1</v>
      </c>
    </row>
    <row r="48" spans="2:21" x14ac:dyDescent="0.2">
      <c r="B48" t="s">
        <v>75</v>
      </c>
      <c r="H48" s="6">
        <v>42.8</v>
      </c>
      <c r="L48" s="6">
        <v>61.8</v>
      </c>
      <c r="S48" s="2">
        <v>6.2</v>
      </c>
      <c r="T48" s="2">
        <v>54.8</v>
      </c>
      <c r="U48" s="2">
        <v>240.4</v>
      </c>
    </row>
    <row r="49" spans="2:21" x14ac:dyDescent="0.2">
      <c r="B49" t="s">
        <v>76</v>
      </c>
      <c r="H49" s="6">
        <v>16</v>
      </c>
      <c r="L49" s="6">
        <v>31.2</v>
      </c>
      <c r="S49" s="2">
        <v>0</v>
      </c>
      <c r="T49" s="2">
        <v>16</v>
      </c>
      <c r="U49" s="2">
        <v>133.69999999999999</v>
      </c>
    </row>
    <row r="50" spans="2:21" x14ac:dyDescent="0.2">
      <c r="B50" t="s">
        <v>41</v>
      </c>
      <c r="H50" s="6">
        <v>0</v>
      </c>
      <c r="L50" s="6">
        <v>0.8</v>
      </c>
      <c r="S50" s="2">
        <v>0</v>
      </c>
      <c r="T50" s="2">
        <v>0</v>
      </c>
      <c r="U50" s="2">
        <v>4.2</v>
      </c>
    </row>
    <row r="51" spans="2:21" x14ac:dyDescent="0.2">
      <c r="H51" s="6"/>
      <c r="L51" s="6"/>
    </row>
    <row r="52" spans="2:21" x14ac:dyDescent="0.2">
      <c r="B52" t="s">
        <v>70</v>
      </c>
      <c r="H52" s="6"/>
      <c r="L52" s="6"/>
      <c r="T52" s="2">
        <v>316</v>
      </c>
      <c r="U52" s="2">
        <v>2496</v>
      </c>
    </row>
    <row r="53" spans="2:21" x14ac:dyDescent="0.2">
      <c r="B53" t="s">
        <v>50</v>
      </c>
      <c r="H53" s="6">
        <v>5790</v>
      </c>
      <c r="L53" s="6">
        <v>5858</v>
      </c>
    </row>
    <row r="54" spans="2:21" x14ac:dyDescent="0.2">
      <c r="B54" t="s">
        <v>51</v>
      </c>
      <c r="H54" s="6">
        <v>3101</v>
      </c>
      <c r="L54" s="6">
        <v>3530</v>
      </c>
    </row>
    <row r="55" spans="2:21" x14ac:dyDescent="0.2">
      <c r="B55" t="s">
        <v>45</v>
      </c>
      <c r="H55" s="6">
        <v>76</v>
      </c>
      <c r="L55" s="6">
        <v>80</v>
      </c>
    </row>
    <row r="57" spans="2:21" s="4" customFormat="1" x14ac:dyDescent="0.2">
      <c r="B57" s="4" t="s">
        <v>8</v>
      </c>
      <c r="C57" s="5"/>
      <c r="D57" s="5"/>
      <c r="E57" s="5"/>
      <c r="F57" s="5"/>
      <c r="G57" s="5">
        <v>8019</v>
      </c>
      <c r="H57" s="5">
        <f>SUM(H3:H8)</f>
        <v>8967</v>
      </c>
      <c r="I57" s="5"/>
      <c r="J57" s="5">
        <v>9047</v>
      </c>
      <c r="K57" s="5">
        <v>8793</v>
      </c>
      <c r="L57" s="5">
        <f>SUM(L3:L8)</f>
        <v>9468</v>
      </c>
      <c r="M57" s="5"/>
      <c r="N57" s="5"/>
      <c r="P57" s="4">
        <v>29625</v>
      </c>
      <c r="Q57" s="4">
        <v>29805</v>
      </c>
      <c r="R57" s="4">
        <v>28694</v>
      </c>
      <c r="S57" s="4">
        <v>31405</v>
      </c>
      <c r="T57" s="4">
        <v>31762</v>
      </c>
      <c r="U57" s="4">
        <f>SUM(U3:U8)</f>
        <v>35174</v>
      </c>
    </row>
    <row r="58" spans="2:21" s="2" customFormat="1" x14ac:dyDescent="0.2">
      <c r="B58" s="2" t="s">
        <v>20</v>
      </c>
      <c r="C58" s="6"/>
      <c r="D58" s="6"/>
      <c r="E58" s="6"/>
      <c r="F58" s="6"/>
      <c r="G58" s="6">
        <v>3038</v>
      </c>
      <c r="H58" s="6">
        <v>3228</v>
      </c>
      <c r="I58" s="6"/>
      <c r="J58" s="6">
        <v>3462</v>
      </c>
      <c r="K58" s="6">
        <v>3195</v>
      </c>
      <c r="L58" s="6">
        <v>3345</v>
      </c>
      <c r="M58" s="6"/>
      <c r="N58" s="6"/>
      <c r="P58" s="2">
        <v>10758</v>
      </c>
      <c r="Q58" s="2">
        <v>10513</v>
      </c>
      <c r="R58" s="2">
        <v>9569</v>
      </c>
      <c r="S58" s="2">
        <v>10030</v>
      </c>
      <c r="T58" s="2">
        <v>11402</v>
      </c>
      <c r="U58" s="2">
        <v>12893</v>
      </c>
    </row>
    <row r="59" spans="2:21" s="2" customFormat="1" x14ac:dyDescent="0.2">
      <c r="B59" s="2" t="s">
        <v>21</v>
      </c>
      <c r="C59" s="6"/>
      <c r="D59" s="6"/>
      <c r="E59" s="6"/>
      <c r="F59" s="6"/>
      <c r="G59" s="6">
        <f>+G57-G58</f>
        <v>4981</v>
      </c>
      <c r="H59" s="6">
        <f>+H57-H58</f>
        <v>5739</v>
      </c>
      <c r="I59" s="6"/>
      <c r="J59" s="6">
        <f>+J57-J58</f>
        <v>5585</v>
      </c>
      <c r="K59" s="6">
        <f>+K57-K58</f>
        <v>5598</v>
      </c>
      <c r="L59" s="6">
        <f>+L57-L58</f>
        <v>6123</v>
      </c>
      <c r="M59" s="6"/>
      <c r="N59" s="6"/>
      <c r="P59" s="2">
        <f t="shared" ref="P59:U59" si="1">+P57-P58</f>
        <v>18867</v>
      </c>
      <c r="Q59" s="2">
        <f t="shared" si="1"/>
        <v>19292</v>
      </c>
      <c r="R59" s="2">
        <f t="shared" si="1"/>
        <v>19125</v>
      </c>
      <c r="S59" s="2">
        <f t="shared" si="1"/>
        <v>21375</v>
      </c>
      <c r="T59" s="2">
        <f t="shared" si="1"/>
        <v>20360</v>
      </c>
      <c r="U59" s="2">
        <f t="shared" si="1"/>
        <v>22281</v>
      </c>
    </row>
    <row r="60" spans="2:21" s="2" customFormat="1" x14ac:dyDescent="0.2">
      <c r="B60" s="2" t="s">
        <v>22</v>
      </c>
      <c r="C60" s="6"/>
      <c r="D60" s="6"/>
      <c r="E60" s="6"/>
      <c r="F60" s="6"/>
      <c r="G60" s="6">
        <v>2250</v>
      </c>
      <c r="H60" s="6">
        <v>2508</v>
      </c>
      <c r="I60" s="6"/>
      <c r="J60" s="6">
        <v>2696</v>
      </c>
      <c r="K60" s="6">
        <v>2553</v>
      </c>
      <c r="L60" s="6">
        <v>2679</v>
      </c>
      <c r="M60" s="6"/>
      <c r="N60" s="6"/>
      <c r="P60" s="2">
        <v>7408</v>
      </c>
      <c r="Q60" s="2">
        <v>8695</v>
      </c>
      <c r="R60" s="2">
        <v>7384</v>
      </c>
      <c r="S60" s="2">
        <v>8400</v>
      </c>
      <c r="T60" s="2">
        <v>8114</v>
      </c>
      <c r="U60" s="2">
        <v>10060</v>
      </c>
    </row>
    <row r="61" spans="2:21" s="2" customFormat="1" x14ac:dyDescent="0.2">
      <c r="B61" s="2" t="s">
        <v>23</v>
      </c>
      <c r="C61" s="6"/>
      <c r="D61" s="6"/>
      <c r="E61" s="6"/>
      <c r="F61" s="6"/>
      <c r="G61" s="6">
        <f>+G59-G60</f>
        <v>2731</v>
      </c>
      <c r="H61" s="6">
        <f>+H59-H60</f>
        <v>3231</v>
      </c>
      <c r="I61" s="6"/>
      <c r="J61" s="6">
        <f>+J59-J60</f>
        <v>2889</v>
      </c>
      <c r="K61" s="6">
        <f>+K59-K60</f>
        <v>3045</v>
      </c>
      <c r="L61" s="6">
        <f>+L59-L60</f>
        <v>3444</v>
      </c>
      <c r="M61" s="6"/>
      <c r="N61" s="6"/>
      <c r="P61" s="2">
        <f t="shared" ref="P61:U61" si="2">+P59-P60</f>
        <v>11459</v>
      </c>
      <c r="Q61" s="2">
        <f t="shared" si="2"/>
        <v>10597</v>
      </c>
      <c r="R61" s="2">
        <f t="shared" si="2"/>
        <v>11741</v>
      </c>
      <c r="S61" s="2">
        <f t="shared" si="2"/>
        <v>12975</v>
      </c>
      <c r="T61" s="2">
        <f t="shared" si="2"/>
        <v>12246</v>
      </c>
      <c r="U61" s="2">
        <f t="shared" si="2"/>
        <v>12221</v>
      </c>
    </row>
    <row r="62" spans="2:21" s="2" customFormat="1" x14ac:dyDescent="0.2">
      <c r="B62" s="2" t="s">
        <v>24</v>
      </c>
      <c r="C62" s="6"/>
      <c r="D62" s="6"/>
      <c r="E62" s="6"/>
      <c r="F62" s="6"/>
      <c r="G62" s="6">
        <v>-230</v>
      </c>
      <c r="H62" s="6">
        <v>-297</v>
      </c>
      <c r="I62" s="6"/>
      <c r="J62" s="6">
        <v>-299</v>
      </c>
      <c r="K62" s="6">
        <v>-299</v>
      </c>
      <c r="L62" s="6">
        <v>-329</v>
      </c>
      <c r="M62" s="6"/>
      <c r="N62" s="6"/>
      <c r="P62" s="2">
        <v>-665</v>
      </c>
      <c r="Q62" s="2">
        <v>-570</v>
      </c>
      <c r="R62" s="2">
        <v>-618</v>
      </c>
      <c r="S62" s="2">
        <v>-628</v>
      </c>
      <c r="T62" s="2">
        <v>-588</v>
      </c>
      <c r="U62" s="2">
        <v>-1061</v>
      </c>
    </row>
    <row r="63" spans="2:21" s="2" customFormat="1" x14ac:dyDescent="0.2">
      <c r="B63" s="2" t="s">
        <v>25</v>
      </c>
      <c r="C63" s="6"/>
      <c r="D63" s="6"/>
      <c r="E63" s="6"/>
      <c r="F63" s="6"/>
      <c r="G63" s="6">
        <f>+G61+G62</f>
        <v>2501</v>
      </c>
      <c r="H63" s="6">
        <f>+H61+H62</f>
        <v>2934</v>
      </c>
      <c r="I63" s="6"/>
      <c r="J63" s="6">
        <f>+J61+J62</f>
        <v>2590</v>
      </c>
      <c r="K63" s="6">
        <f>+K61+K62</f>
        <v>2746</v>
      </c>
      <c r="L63" s="6">
        <f>+L61+L62</f>
        <v>3115</v>
      </c>
      <c r="M63" s="6"/>
      <c r="N63" s="6"/>
      <c r="P63" s="2">
        <f t="shared" ref="P63:U63" si="3">+P62+P61</f>
        <v>10794</v>
      </c>
      <c r="Q63" s="2">
        <f t="shared" si="3"/>
        <v>10027</v>
      </c>
      <c r="R63" s="2">
        <f t="shared" si="3"/>
        <v>11123</v>
      </c>
      <c r="S63" s="2">
        <f t="shared" si="3"/>
        <v>12347</v>
      </c>
      <c r="T63" s="2">
        <f t="shared" si="3"/>
        <v>11658</v>
      </c>
      <c r="U63" s="2">
        <f t="shared" si="3"/>
        <v>11160</v>
      </c>
    </row>
    <row r="64" spans="2:21" s="2" customFormat="1" x14ac:dyDescent="0.2">
      <c r="B64" s="2" t="s">
        <v>26</v>
      </c>
      <c r="C64" s="6"/>
      <c r="D64" s="6"/>
      <c r="E64" s="6"/>
      <c r="F64" s="6"/>
      <c r="G64" s="6">
        <v>428</v>
      </c>
      <c r="H64" s="6">
        <v>560</v>
      </c>
      <c r="I64" s="6"/>
      <c r="J64" s="6">
        <v>676</v>
      </c>
      <c r="K64" s="6">
        <v>676</v>
      </c>
      <c r="L64" s="6">
        <v>734</v>
      </c>
      <c r="M64" s="6"/>
      <c r="N64" s="6"/>
      <c r="P64" s="2">
        <v>2445</v>
      </c>
      <c r="Q64" s="2">
        <v>2293</v>
      </c>
      <c r="R64" s="2">
        <v>2377</v>
      </c>
      <c r="S64" s="2">
        <v>2671</v>
      </c>
      <c r="T64" s="2">
        <v>2244</v>
      </c>
      <c r="U64" s="2">
        <v>2339</v>
      </c>
    </row>
    <row r="65" spans="2:21" s="2" customFormat="1" x14ac:dyDescent="0.2">
      <c r="B65" s="2" t="s">
        <v>27</v>
      </c>
      <c r="C65" s="6"/>
      <c r="D65" s="6"/>
      <c r="E65" s="6"/>
      <c r="F65" s="6"/>
      <c r="G65" s="6">
        <f>+G63-G64</f>
        <v>2073</v>
      </c>
      <c r="H65" s="6">
        <f>+H63-H64</f>
        <v>2374</v>
      </c>
      <c r="I65" s="6"/>
      <c r="J65" s="6">
        <f>+J63-J64</f>
        <v>1914</v>
      </c>
      <c r="K65" s="6">
        <f>+K63-K64</f>
        <v>2070</v>
      </c>
      <c r="L65" s="6">
        <f>+L63-L64</f>
        <v>2381</v>
      </c>
      <c r="M65" s="6"/>
      <c r="N65" s="6"/>
      <c r="P65" s="2">
        <f t="shared" ref="P65:U65" si="4">+P63-P64</f>
        <v>8349</v>
      </c>
      <c r="Q65" s="2">
        <f t="shared" si="4"/>
        <v>7734</v>
      </c>
      <c r="R65" s="2">
        <f t="shared" si="4"/>
        <v>8746</v>
      </c>
      <c r="S65" s="2">
        <f t="shared" si="4"/>
        <v>9676</v>
      </c>
      <c r="T65" s="2">
        <f t="shared" si="4"/>
        <v>9414</v>
      </c>
      <c r="U65" s="2">
        <f t="shared" si="4"/>
        <v>8821</v>
      </c>
    </row>
    <row r="66" spans="2:21" s="2" customFormat="1" x14ac:dyDescent="0.2">
      <c r="B66" s="2" t="s">
        <v>28</v>
      </c>
      <c r="C66" s="6"/>
      <c r="D66" s="6"/>
      <c r="E66" s="6"/>
      <c r="F66" s="6"/>
      <c r="G66" s="6">
        <v>107</v>
      </c>
      <c r="H66" s="6">
        <v>114</v>
      </c>
      <c r="I66" s="6"/>
      <c r="J66" s="6">
        <v>98</v>
      </c>
      <c r="K66" s="6">
        <v>98</v>
      </c>
      <c r="L66" s="6">
        <v>122</v>
      </c>
      <c r="M66" s="6"/>
      <c r="N66" s="6"/>
      <c r="P66" s="2">
        <v>375</v>
      </c>
      <c r="Q66" s="2">
        <v>543</v>
      </c>
      <c r="R66" s="2">
        <v>536</v>
      </c>
      <c r="S66" s="2">
        <v>601</v>
      </c>
      <c r="T66" s="2">
        <v>479</v>
      </c>
      <c r="U66" s="2">
        <v>455</v>
      </c>
    </row>
    <row r="67" spans="2:21" s="2" customFormat="1" x14ac:dyDescent="0.2">
      <c r="B67" s="2" t="s">
        <v>29</v>
      </c>
      <c r="C67" s="6"/>
      <c r="D67" s="6"/>
      <c r="E67" s="6"/>
      <c r="F67" s="6"/>
      <c r="G67" s="6">
        <f>+G65-G66</f>
        <v>1966</v>
      </c>
      <c r="H67" s="6">
        <f>+H65-H66</f>
        <v>2260</v>
      </c>
      <c r="I67" s="6"/>
      <c r="J67" s="6">
        <f>+J65-J66</f>
        <v>1816</v>
      </c>
      <c r="K67" s="6">
        <f>+K65-K66</f>
        <v>1972</v>
      </c>
      <c r="L67" s="6">
        <f>+L65-L66</f>
        <v>2259</v>
      </c>
      <c r="M67" s="6"/>
      <c r="N67" s="6"/>
      <c r="P67" s="2">
        <f t="shared" ref="P67:U67" si="5">+P65-P66</f>
        <v>7974</v>
      </c>
      <c r="Q67" s="2">
        <f t="shared" si="5"/>
        <v>7191</v>
      </c>
      <c r="R67" s="2">
        <f t="shared" si="5"/>
        <v>8210</v>
      </c>
      <c r="S67" s="2">
        <f t="shared" si="5"/>
        <v>9075</v>
      </c>
      <c r="T67" s="2">
        <f t="shared" si="5"/>
        <v>8935</v>
      </c>
      <c r="U67" s="2">
        <f t="shared" si="5"/>
        <v>8366</v>
      </c>
    </row>
    <row r="69" spans="2:21" x14ac:dyDescent="0.2">
      <c r="B69" t="s">
        <v>110</v>
      </c>
      <c r="K69" s="7">
        <f>+K57/G57-1</f>
        <v>9.6520763187429859E-2</v>
      </c>
      <c r="L69" s="7">
        <f>+L57/H57-1</f>
        <v>5.5871528939444692E-2</v>
      </c>
      <c r="Q69" s="9">
        <f>+Q57/P57-1</f>
        <v>6.0759493670885512E-3</v>
      </c>
      <c r="R69" s="9">
        <f>+R57/Q57-1</f>
        <v>-3.7275624895151793E-2</v>
      </c>
      <c r="S69" s="9">
        <f>+S57/R57-1</f>
        <v>9.4479682163518541E-2</v>
      </c>
      <c r="T69" s="9">
        <f>+T57/S57-1</f>
        <v>1.1367616621557053E-2</v>
      </c>
      <c r="U69" s="9">
        <f>+U57/T57-1</f>
        <v>0.10742396574523005</v>
      </c>
    </row>
    <row r="71" spans="2:21" x14ac:dyDescent="0.2">
      <c r="B71" t="s">
        <v>52</v>
      </c>
      <c r="K71" s="6">
        <f>+K72-K83</f>
        <v>-41501</v>
      </c>
      <c r="L71" s="6">
        <f>+L72-L83</f>
        <v>-39371</v>
      </c>
    </row>
    <row r="72" spans="2:21" x14ac:dyDescent="0.2">
      <c r="B72" t="s">
        <v>3</v>
      </c>
      <c r="K72" s="6">
        <f>3968+4918</f>
        <v>8886</v>
      </c>
      <c r="L72" s="6">
        <f>4807+4961</f>
        <v>9768</v>
      </c>
    </row>
    <row r="73" spans="2:21" x14ac:dyDescent="0.2">
      <c r="B73" t="s">
        <v>30</v>
      </c>
      <c r="K73" s="6">
        <v>4188</v>
      </c>
      <c r="L73" s="6">
        <v>4240</v>
      </c>
    </row>
    <row r="74" spans="2:21" x14ac:dyDescent="0.2">
      <c r="B74" t="s">
        <v>31</v>
      </c>
      <c r="K74" s="6">
        <v>864</v>
      </c>
      <c r="L74" s="6">
        <v>877</v>
      </c>
    </row>
    <row r="75" spans="2:21" x14ac:dyDescent="0.2">
      <c r="B75" t="s">
        <v>32</v>
      </c>
      <c r="K75" s="6">
        <v>9970</v>
      </c>
      <c r="L75" s="6">
        <v>9382</v>
      </c>
    </row>
    <row r="76" spans="2:21" x14ac:dyDescent="0.2">
      <c r="B76" t="s">
        <v>33</v>
      </c>
      <c r="K76" s="6">
        <v>1884</v>
      </c>
      <c r="L76" s="6">
        <v>1722</v>
      </c>
    </row>
    <row r="77" spans="2:21" x14ac:dyDescent="0.2">
      <c r="B77" t="s">
        <v>34</v>
      </c>
      <c r="K77" s="6">
        <v>7201</v>
      </c>
      <c r="L77" s="6">
        <v>7264</v>
      </c>
    </row>
    <row r="78" spans="2:21" x14ac:dyDescent="0.2">
      <c r="B78" t="s">
        <v>35</v>
      </c>
      <c r="K78" s="6">
        <f>16458+9448</f>
        <v>25906</v>
      </c>
      <c r="L78" s="6">
        <f>16819+12171</f>
        <v>28990</v>
      </c>
    </row>
    <row r="79" spans="2:21" x14ac:dyDescent="0.2">
      <c r="B79" t="s">
        <v>36</v>
      </c>
      <c r="K79" s="6">
        <v>950</v>
      </c>
      <c r="L79" s="6">
        <v>918</v>
      </c>
    </row>
    <row r="80" spans="2:21" x14ac:dyDescent="0.2">
      <c r="B80" t="s">
        <v>37</v>
      </c>
      <c r="K80" s="6">
        <v>5466</v>
      </c>
      <c r="L80" s="6">
        <v>2621</v>
      </c>
    </row>
    <row r="81" spans="2:12" x14ac:dyDescent="0.2">
      <c r="B81" t="s">
        <v>38</v>
      </c>
      <c r="K81" s="6">
        <f>SUM(K72:K80)</f>
        <v>65315</v>
      </c>
      <c r="L81" s="6">
        <f>SUM(L72:L80)</f>
        <v>65782</v>
      </c>
    </row>
    <row r="82" spans="2:12" x14ac:dyDescent="0.2">
      <c r="K82" s="6"/>
      <c r="L82" s="6"/>
    </row>
    <row r="83" spans="2:12" x14ac:dyDescent="0.2">
      <c r="B83" t="s">
        <v>4</v>
      </c>
      <c r="K83" s="6">
        <f>279+5425+44683</f>
        <v>50387</v>
      </c>
      <c r="L83" s="6">
        <f>139+4353+44647</f>
        <v>49139</v>
      </c>
    </row>
    <row r="84" spans="2:12" x14ac:dyDescent="0.2">
      <c r="B84" t="s">
        <v>39</v>
      </c>
      <c r="K84" s="6">
        <v>3648</v>
      </c>
      <c r="L84" s="6">
        <v>3591</v>
      </c>
    </row>
    <row r="85" spans="2:12" x14ac:dyDescent="0.2">
      <c r="B85" t="s">
        <v>40</v>
      </c>
      <c r="K85" s="6">
        <f>823+5799+925+2038</f>
        <v>9585</v>
      </c>
      <c r="L85" s="6">
        <f>961+6826+1052+2040+2453</f>
        <v>13332</v>
      </c>
    </row>
    <row r="86" spans="2:12" x14ac:dyDescent="0.2">
      <c r="B86" t="s">
        <v>41</v>
      </c>
      <c r="K86" s="6">
        <v>2409</v>
      </c>
      <c r="L86" s="6">
        <v>1001</v>
      </c>
    </row>
    <row r="87" spans="2:12" x14ac:dyDescent="0.2">
      <c r="B87" t="s">
        <v>36</v>
      </c>
      <c r="K87" s="6">
        <f>822+1539+2664</f>
        <v>5025</v>
      </c>
      <c r="L87" s="6">
        <f>2651+1187</f>
        <v>3838</v>
      </c>
    </row>
    <row r="88" spans="2:12" x14ac:dyDescent="0.2">
      <c r="B88" t="s">
        <v>43</v>
      </c>
      <c r="K88" s="6">
        <v>2824</v>
      </c>
      <c r="L88" s="6">
        <v>2823</v>
      </c>
    </row>
    <row r="89" spans="2:12" x14ac:dyDescent="0.2">
      <c r="B89" t="s">
        <v>42</v>
      </c>
      <c r="K89" s="6">
        <v>-8563</v>
      </c>
      <c r="L89" s="6">
        <v>-7942</v>
      </c>
    </row>
    <row r="90" spans="2:12" x14ac:dyDescent="0.2">
      <c r="B90" t="s">
        <v>44</v>
      </c>
      <c r="K90" s="6">
        <f>SUM(K83:K89)</f>
        <v>65315</v>
      </c>
      <c r="L90" s="6">
        <f>SUM(L83:L89)</f>
        <v>65782</v>
      </c>
    </row>
    <row r="92" spans="2:12" x14ac:dyDescent="0.2">
      <c r="B92" t="s">
        <v>53</v>
      </c>
      <c r="K92" s="6">
        <f>+K67</f>
        <v>1972</v>
      </c>
    </row>
    <row r="93" spans="2:12" x14ac:dyDescent="0.2">
      <c r="B93" t="s">
        <v>54</v>
      </c>
      <c r="K93" s="6">
        <v>2246</v>
      </c>
    </row>
    <row r="94" spans="2:12" x14ac:dyDescent="0.2">
      <c r="B94" t="s">
        <v>56</v>
      </c>
      <c r="K94" s="6">
        <v>367</v>
      </c>
    </row>
    <row r="95" spans="2:12" x14ac:dyDescent="0.2">
      <c r="B95" t="s">
        <v>57</v>
      </c>
      <c r="K95" s="6">
        <f>27+148</f>
        <v>175</v>
      </c>
    </row>
    <row r="96" spans="2:12" x14ac:dyDescent="0.2">
      <c r="B96" t="s">
        <v>36</v>
      </c>
      <c r="K96" s="6">
        <v>76</v>
      </c>
    </row>
    <row r="97" spans="2:21" x14ac:dyDescent="0.2">
      <c r="B97" t="s">
        <v>58</v>
      </c>
      <c r="K97" s="6">
        <f>-890+527-181-1797-79-34-169</f>
        <v>-2623</v>
      </c>
    </row>
    <row r="98" spans="2:21" x14ac:dyDescent="0.2">
      <c r="B98" t="s">
        <v>55</v>
      </c>
      <c r="K98" s="6">
        <f>SUM(K93:K97)</f>
        <v>241</v>
      </c>
      <c r="P98" s="2">
        <v>9478</v>
      </c>
      <c r="Q98" s="2">
        <v>10090</v>
      </c>
      <c r="R98" s="2">
        <v>9812</v>
      </c>
      <c r="S98" s="2">
        <v>11967</v>
      </c>
      <c r="T98" s="2">
        <v>10803</v>
      </c>
      <c r="U98" s="2">
        <v>9204</v>
      </c>
    </row>
    <row r="99" spans="2:21" x14ac:dyDescent="0.2">
      <c r="P99" s="2"/>
      <c r="Q99" s="2"/>
      <c r="R99" s="2"/>
      <c r="S99" s="2"/>
      <c r="T99" s="2"/>
      <c r="U99" s="2"/>
    </row>
    <row r="100" spans="2:21" x14ac:dyDescent="0.2">
      <c r="B100" t="s">
        <v>60</v>
      </c>
      <c r="K100" s="3">
        <v>-417</v>
      </c>
      <c r="P100" s="2">
        <v>1436</v>
      </c>
      <c r="Q100" s="2">
        <v>852</v>
      </c>
      <c r="R100" s="2">
        <v>602</v>
      </c>
      <c r="S100" s="2">
        <v>748</v>
      </c>
      <c r="T100" s="2">
        <v>1077</v>
      </c>
      <c r="U100" s="2">
        <v>1321</v>
      </c>
    </row>
    <row r="101" spans="2:21" x14ac:dyDescent="0.2">
      <c r="B101" t="s">
        <v>61</v>
      </c>
      <c r="K101" s="3">
        <v>-20</v>
      </c>
    </row>
    <row r="102" spans="2:21" x14ac:dyDescent="0.2">
      <c r="B102" t="s">
        <v>62</v>
      </c>
      <c r="K102" s="3">
        <v>310</v>
      </c>
    </row>
    <row r="103" spans="2:21" x14ac:dyDescent="0.2">
      <c r="B103" t="s">
        <v>41</v>
      </c>
      <c r="K103" s="3">
        <v>-66</v>
      </c>
    </row>
    <row r="104" spans="2:21" x14ac:dyDescent="0.2">
      <c r="B104" t="s">
        <v>59</v>
      </c>
      <c r="K104" s="3">
        <f>SUM(K100:K103)</f>
        <v>-193</v>
      </c>
    </row>
    <row r="106" spans="2:21" x14ac:dyDescent="0.2">
      <c r="B106" t="s">
        <v>4</v>
      </c>
      <c r="K106" s="6">
        <f>-1475+100-284+4659</f>
        <v>3000</v>
      </c>
    </row>
    <row r="107" spans="2:21" x14ac:dyDescent="0.2">
      <c r="B107" t="s">
        <v>66</v>
      </c>
      <c r="K107" s="6">
        <v>-2037</v>
      </c>
    </row>
    <row r="108" spans="2:21" x14ac:dyDescent="0.2">
      <c r="B108" t="s">
        <v>62</v>
      </c>
      <c r="K108" s="6">
        <v>260</v>
      </c>
    </row>
    <row r="109" spans="2:21" x14ac:dyDescent="0.2">
      <c r="B109" t="s">
        <v>67</v>
      </c>
      <c r="K109" s="6">
        <v>-88</v>
      </c>
    </row>
    <row r="110" spans="2:21" x14ac:dyDescent="0.2">
      <c r="B110" t="s">
        <v>65</v>
      </c>
      <c r="K110" s="6">
        <f>SUM(K106:K109)</f>
        <v>1135</v>
      </c>
    </row>
    <row r="111" spans="2:21" x14ac:dyDescent="0.2">
      <c r="B111" t="s">
        <v>64</v>
      </c>
      <c r="K111" s="6">
        <v>-230</v>
      </c>
    </row>
    <row r="112" spans="2:21" x14ac:dyDescent="0.2">
      <c r="B112" t="s">
        <v>63</v>
      </c>
      <c r="K112" s="6">
        <f>+K111+K110+K104+K98</f>
        <v>953</v>
      </c>
    </row>
    <row r="114" spans="2:21" x14ac:dyDescent="0.2">
      <c r="B114" t="s">
        <v>111</v>
      </c>
      <c r="K114" s="2">
        <f>+K98-K100</f>
        <v>658</v>
      </c>
      <c r="P114" s="2">
        <f t="shared" ref="P114:U114" si="6">+P98-P100</f>
        <v>8042</v>
      </c>
      <c r="Q114" s="2">
        <f t="shared" si="6"/>
        <v>9238</v>
      </c>
      <c r="R114" s="2">
        <f t="shared" si="6"/>
        <v>9210</v>
      </c>
      <c r="S114" s="2">
        <f t="shared" si="6"/>
        <v>11219</v>
      </c>
      <c r="T114" s="2">
        <f t="shared" si="6"/>
        <v>9726</v>
      </c>
      <c r="U114" s="2">
        <f t="shared" si="6"/>
        <v>7883</v>
      </c>
    </row>
  </sheetData>
  <sortState xmlns:xlrd2="http://schemas.microsoft.com/office/spreadsheetml/2017/richdata2" ref="A15:AG45">
    <sortCondition descending="1" ref="U15:U45"/>
  </sortState>
  <hyperlinks>
    <hyperlink ref="A1" location="Main!A1" display="Main" xr:uid="{1D8FA7A7-C42D-40BE-A8B2-C7018B1FF02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2024-09-20T14:34:25Z</dcterms:created>
  <dcterms:modified xsi:type="dcterms:W3CDTF">2025-10-14T22:35:49Z</dcterms:modified>
</cp:coreProperties>
</file>