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C22D58A8-E5D6-49B2-97D8-AD33F66EBE37}" xr6:coauthVersionLast="47" xr6:coauthVersionMax="47" xr10:uidLastSave="{00000000-0000-0000-0000-000000000000}"/>
  <bookViews>
    <workbookView xWindow="4965" yWindow="4965" windowWidth="18075" windowHeight="16020" xr2:uid="{023094E3-E1C0-4108-8BD9-8EDCA3D810D9}"/>
  </bookViews>
  <sheets>
    <sheet name="Main" sheetId="1" r:id="rId1"/>
    <sheet name="Model" sheetId="2" r:id="rId2"/>
    <sheet name="QUB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R7" i="2"/>
  <c r="S11" i="2"/>
  <c r="R18" i="2"/>
  <c r="R11" i="2"/>
  <c r="C5" i="2"/>
  <c r="F5" i="2" s="1"/>
  <c r="G5" i="2"/>
  <c r="J5" i="2" s="1"/>
  <c r="AA18" i="2"/>
  <c r="AA15" i="2"/>
  <c r="AA13" i="2"/>
  <c r="AA10" i="2"/>
  <c r="AA9" i="2"/>
  <c r="AA8" i="2"/>
  <c r="AA6" i="2"/>
  <c r="Z18" i="2"/>
  <c r="Y11" i="2"/>
  <c r="Y7" i="2"/>
  <c r="N13" i="2"/>
  <c r="Z13" i="2" s="1"/>
  <c r="N10" i="2"/>
  <c r="Z10" i="2" s="1"/>
  <c r="AA5" i="2"/>
  <c r="N9" i="2"/>
  <c r="Z9" i="2" s="1"/>
  <c r="N8" i="2"/>
  <c r="Z8" i="2" s="1"/>
  <c r="N6" i="2"/>
  <c r="Z6" i="2" s="1"/>
  <c r="N5" i="2"/>
  <c r="N7" i="2" s="1"/>
  <c r="P20" i="2"/>
  <c r="O20" i="2"/>
  <c r="Q20" i="2"/>
  <c r="K11" i="2"/>
  <c r="K7" i="2"/>
  <c r="O11" i="2"/>
  <c r="O7" i="2"/>
  <c r="L11" i="2"/>
  <c r="L7" i="2"/>
  <c r="P11" i="2"/>
  <c r="P7" i="2"/>
  <c r="Q11" i="2"/>
  <c r="M11" i="2"/>
  <c r="M7" i="2"/>
  <c r="Q7" i="2"/>
  <c r="L4" i="1"/>
  <c r="L7" i="1" s="1"/>
  <c r="R12" i="2" l="1"/>
  <c r="R14" i="2" s="1"/>
  <c r="R16" i="2" s="1"/>
  <c r="R17" i="2" s="1"/>
  <c r="S20" i="2"/>
  <c r="S7" i="2"/>
  <c r="S12" i="2" s="1"/>
  <c r="S14" i="2" s="1"/>
  <c r="S16" i="2" s="1"/>
  <c r="S17" i="2" s="1"/>
  <c r="X5" i="2"/>
  <c r="Y20" i="2" s="1"/>
  <c r="N20" i="2"/>
  <c r="M12" i="2"/>
  <c r="M14" i="2" s="1"/>
  <c r="M16" i="2" s="1"/>
  <c r="M17" i="2" s="1"/>
  <c r="AA11" i="2"/>
  <c r="Z5" i="2"/>
  <c r="Z7" i="2" s="1"/>
  <c r="Q12" i="2"/>
  <c r="Q14" i="2" s="1"/>
  <c r="Q16" i="2" s="1"/>
  <c r="Q17" i="2" s="1"/>
  <c r="AA20" i="2"/>
  <c r="AA7" i="2"/>
  <c r="Z11" i="2"/>
  <c r="Z12" i="2" s="1"/>
  <c r="Z14" i="2" s="1"/>
  <c r="Z16" i="2" s="1"/>
  <c r="Z17" i="2" s="1"/>
  <c r="R20" i="2"/>
  <c r="Z20" i="2"/>
  <c r="Y12" i="2"/>
  <c r="Y14" i="2" s="1"/>
  <c r="Y16" i="2" s="1"/>
  <c r="Y17" i="2" s="1"/>
  <c r="N11" i="2"/>
  <c r="N12" i="2" s="1"/>
  <c r="N14" i="2" s="1"/>
  <c r="N16" i="2" s="1"/>
  <c r="N17" i="2" s="1"/>
  <c r="K12" i="2"/>
  <c r="K14" i="2" s="1"/>
  <c r="K16" i="2" s="1"/>
  <c r="K17" i="2" s="1"/>
  <c r="O12" i="2"/>
  <c r="O14" i="2" s="1"/>
  <c r="O16" i="2" s="1"/>
  <c r="O17" i="2" s="1"/>
  <c r="L12" i="2"/>
  <c r="L14" i="2" s="1"/>
  <c r="L16" i="2" s="1"/>
  <c r="L17" i="2" s="1"/>
  <c r="P12" i="2"/>
  <c r="P14" i="2" s="1"/>
  <c r="P16" i="2" s="1"/>
  <c r="P17" i="2" s="1"/>
  <c r="AA12" i="2" l="1"/>
  <c r="AA14" i="2" s="1"/>
  <c r="AA16" i="2" s="1"/>
  <c r="AA17" i="2" s="1"/>
</calcChain>
</file>

<file path=xl/sharedStrings.xml><?xml version="1.0" encoding="utf-8"?>
<sst xmlns="http://schemas.openxmlformats.org/spreadsheetml/2006/main" count="54" uniqueCount="47">
  <si>
    <t>Price</t>
  </si>
  <si>
    <t>Shares</t>
  </si>
  <si>
    <t>MC</t>
  </si>
  <si>
    <t>Cash</t>
  </si>
  <si>
    <t>Debt</t>
  </si>
  <si>
    <t>EV</t>
  </si>
  <si>
    <t>Q324</t>
  </si>
  <si>
    <t>PIC</t>
  </si>
  <si>
    <t>AD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</si>
  <si>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</si>
  <si>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</si>
  <si>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</si>
  <si>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</si>
  <si>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</si>
  <si>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</si>
  <si>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</si>
  <si>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</si>
  <si>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</si>
  <si>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</si>
  <si>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</si>
  <si>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</si>
  <si>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</si>
  <si>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COGS</t>
  </si>
  <si>
    <t>Gross Profit</t>
  </si>
  <si>
    <t>R&amp;D</t>
  </si>
  <si>
    <t>G&amp;A</t>
  </si>
  <si>
    <t>S&amp;M</t>
  </si>
  <si>
    <t>Operating Expenses</t>
  </si>
  <si>
    <t>Operating Income</t>
  </si>
  <si>
    <t>Interest</t>
  </si>
  <si>
    <t>Pretax Income</t>
  </si>
  <si>
    <t>Taxes</t>
  </si>
  <si>
    <t>Net Income</t>
  </si>
  <si>
    <t>EPS</t>
  </si>
  <si>
    <t>Q125</t>
  </si>
  <si>
    <t>Q225</t>
  </si>
  <si>
    <t>Q325</t>
  </si>
  <si>
    <t>Q425</t>
  </si>
  <si>
    <t>Revenue y/y</t>
  </si>
  <si>
    <t>Q121</t>
  </si>
  <si>
    <t>Q221</t>
  </si>
  <si>
    <t>Q321</t>
  </si>
  <si>
    <t>Q421</t>
  </si>
  <si>
    <t>Bookings</t>
  </si>
  <si>
    <t>QUBO</t>
  </si>
  <si>
    <t>Algorithms</t>
  </si>
  <si>
    <t>QAOA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</si>
</sst>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4" fontId="3" fillId="0" borderId="0" xfId="0" applyNumberFormat="1" applyFont="1"/>
    <xf numFmtId="3" fontId="3" fillId="0" borderId="0" xfId="0" applyNumberFormat="1" applyFont="1"/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3" fontId="5" fillId="0" borderId="0" xfId="0" applyNumberFormat="1" applyFont="1"/>
    <xf numFmtId="3" fontId="5" fillId="0" borderId="0" xfId="0" applyNumberFormat="1" applyFont="1" applyAlignment="1">
      <alignment horizontal="right"/>
    </xf>
    <xf numFmtId="9" fontId="3" fillId="0" borderId="0" xfId="0" applyNumberFormat="1" applyFont="1" applyAlignment="1">
      <alignment horizontal="right"/>
    </xf>
    <xf numFmtId="0" fontId="6" fillId="0" borderId="0" xfId="1" applyFont="1"/>
    <xf numFmtId="9" fontId="3" fillId="0" borderId="0" xfId="0" applyNumberFormat="1" applyFont="1"/>
    <xf numFmtId="164" fontId="3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C333C01-7D09-445D-8CFE-3D4EACCB720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16510</xdr:colOff>
      <xdr:row>0</xdr:row>
      <xdr:rowOff>0</xdr:rowOff>
    </xdr:from>
    <xdr:to>
      <xdr:col>19</xdr:col>
      <xdr:colOff>16510</xdr:colOff>
      <xdr:row>63</xdr:row>
      <xdr:rowOff>82550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F90029F-A208-618D-AB14-0EB2D7E1CDC4}"/>
            </a:ext>
          </a:extLst>
        </xdr:cNvPr>
        <xdr:cNvCxnSpPr/>
      </xdr:nvCxnSpPr>
      <xdr:spPr>
        <a:xfrm>
          <a:off x="11374120" y="0"/>
          <a:ext cx="0" cy="107315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9C58F-560C-4ADB-A46B-8738912F1791}">
  <dimension ref="K2:M10"/>
  <sheetViews>
    <sheetView tabSelected="1" zoomScaleNormal="100" workbookViewId="0">
      <selection activeCell="M7" sqref="M7"/>
    </sheetView>
  </sheetViews>
  <sheetFormatPr defaultColWidth="8.7109375" defaultRowHeight="12.75" x14ac:dyDescent="0.2"/>
  <cols>
    <col min="1" max="16384" width="8.7109375" style="1"/>
  </cols>
  <sheetData>
    <row r="2" spans="11:13" x14ac:dyDescent="0.2">
      <c r="K2" s="1" t="s">
        <v>0</v>
      </c>
      <c r="L2" s="2">
        <v>13.24</v>
      </c>
    </row>
    <row r="3" spans="11:13" x14ac:dyDescent="0.2">
      <c r="K3" s="1" t="s">
        <v>1</v>
      </c>
      <c r="L3" s="3">
        <v>286</v>
      </c>
      <c r="M3" s="18" t="s">
        <v>34</v>
      </c>
    </row>
    <row r="4" spans="11:13" x14ac:dyDescent="0.2">
      <c r="K4" s="1" t="s">
        <v>2</v>
      </c>
      <c r="L4" s="3">
        <f>+L2*L3</f>
        <v>3786.64</v>
      </c>
      <c r="M4" s="4"/>
    </row>
    <row r="5" spans="11:13" x14ac:dyDescent="0.2">
      <c r="K5" s="1" t="s">
        <v>3</v>
      </c>
      <c r="L5" s="3">
        <v>304.32100000000003</v>
      </c>
      <c r="M5" s="18" t="s">
        <v>34</v>
      </c>
    </row>
    <row r="6" spans="11:13" x14ac:dyDescent="0.2">
      <c r="K6" s="1" t="s">
        <v>4</v>
      </c>
      <c r="L6" s="3">
        <v>30.367000000000001</v>
      </c>
      <c r="M6" s="18" t="s">
        <v>34</v>
      </c>
    </row>
    <row r="7" spans="11:13" x14ac:dyDescent="0.2">
      <c r="K7" s="1" t="s">
        <v>5</v>
      </c>
      <c r="L7" s="3">
        <f>+L4-L5+L6</f>
        <v>3512.6860000000001</v>
      </c>
    </row>
    <row r="9" spans="11:13" x14ac:dyDescent="0.2">
      <c r="K9" s="1" t="s">
        <v>7</v>
      </c>
      <c r="L9" s="3">
        <v>534.52700000000004</v>
      </c>
      <c r="M9" s="4" t="s">
        <v>6</v>
      </c>
    </row>
    <row r="10" spans="11:13" x14ac:dyDescent="0.2">
      <c r="K10" s="1" t="s">
        <v>8</v>
      </c>
      <c r="L10" s="3">
        <v>540.86300000000006</v>
      </c>
      <c r="M10" s="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F8220-2C4E-40EE-8452-F9F198344058}">
  <dimension ref="A1:AA20"/>
  <sheetViews>
    <sheetView zoomScaleNormal="100"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AA20" sqref="AA20"/>
    </sheetView>
  </sheetViews>
  <sheetFormatPr defaultColWidth="8.7109375" defaultRowHeight="12.75" x14ac:dyDescent="0.2"/>
  <cols>
    <col min="1" max="1" width="4.5703125" style="1" bestFit="1" customWidth="1"/>
    <col min="2" max="2" width="17.140625" style="1" bestFit="1" customWidth="1"/>
    <col min="3" max="22" width="8.7109375" style="4"/>
    <col min="23" max="16384" width="8.7109375" style="1"/>
  </cols>
  <sheetData>
    <row r="1" spans="1:27" x14ac:dyDescent="0.2">
      <c r="A1" s="10" t="s">
        <v>9</v>
      </c>
      <c r="Q1" s="15"/>
    </row>
    <row r="2" spans="1:27" x14ac:dyDescent="0.2">
      <c r="C2" s="4" t="s">
        <v>39</v>
      </c>
      <c r="D2" s="4" t="s">
        <v>40</v>
      </c>
      <c r="E2" s="4" t="s">
        <v>41</v>
      </c>
      <c r="F2" s="4" t="s">
        <v>42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 t="s">
        <v>18</v>
      </c>
      <c r="O2" s="4" t="s">
        <v>19</v>
      </c>
      <c r="P2" s="4" t="s">
        <v>20</v>
      </c>
      <c r="Q2" s="4" t="s">
        <v>6</v>
      </c>
      <c r="R2" s="4" t="s">
        <v>21</v>
      </c>
      <c r="S2" s="4" t="s">
        <v>34</v>
      </c>
      <c r="T2" s="4" t="s">
        <v>35</v>
      </c>
      <c r="U2" s="4" t="s">
        <v>36</v>
      </c>
      <c r="V2" s="4" t="s">
        <v>37</v>
      </c>
      <c r="X2" s="1">
        <v>2021</v>
      </c>
      <c r="Y2" s="1">
        <v>2022</v>
      </c>
      <c r="Z2" s="1">
        <v>2023</v>
      </c>
      <c r="AA2" s="1">
        <v>2024</v>
      </c>
    </row>
    <row r="3" spans="1:27" s="12" customFormat="1" x14ac:dyDescent="0.2">
      <c r="B3" s="13" t="s">
        <v>43</v>
      </c>
      <c r="C3" s="14"/>
      <c r="D3" s="14"/>
      <c r="E3" s="14"/>
      <c r="F3" s="14"/>
      <c r="G3" s="17">
        <v>0.73299999999999998</v>
      </c>
      <c r="H3" s="14">
        <v>1.8</v>
      </c>
      <c r="I3" s="14">
        <v>1.8</v>
      </c>
      <c r="J3" s="14">
        <f>(11.5-5.4-I3)/3</f>
        <v>1.4333333333333333</v>
      </c>
      <c r="K3" s="16">
        <v>2.9</v>
      </c>
      <c r="L3" s="17">
        <v>2.5</v>
      </c>
      <c r="M3" s="14">
        <v>2.9</v>
      </c>
      <c r="N3" s="14">
        <v>3</v>
      </c>
      <c r="O3" s="14">
        <v>4.5</v>
      </c>
      <c r="P3" s="14">
        <v>2.7</v>
      </c>
      <c r="Q3" s="14">
        <v>2.2999999999999998</v>
      </c>
      <c r="R3" s="14">
        <v>18.3</v>
      </c>
      <c r="S3" s="16">
        <v>1.6</v>
      </c>
      <c r="T3" s="14"/>
      <c r="U3" s="14"/>
      <c r="V3" s="14"/>
    </row>
    <row r="5" spans="1:27" s="7" customFormat="1" x14ac:dyDescent="0.2">
      <c r="B5" s="7" t="s">
        <v>10</v>
      </c>
      <c r="C5" s="8">
        <f>2546-D5</f>
        <v>1409</v>
      </c>
      <c r="D5" s="8">
        <v>1137</v>
      </c>
      <c r="E5" s="8">
        <v>1307</v>
      </c>
      <c r="F5" s="8">
        <f>6279-E5-D5-C5</f>
        <v>2426</v>
      </c>
      <c r="G5" s="8">
        <f>3083-H5</f>
        <v>1712</v>
      </c>
      <c r="H5" s="8">
        <v>1371</v>
      </c>
      <c r="I5" s="8">
        <v>1695</v>
      </c>
      <c r="J5" s="8">
        <f>7173-I5-H5-G5</f>
        <v>2395</v>
      </c>
      <c r="K5" s="8">
        <v>1583</v>
      </c>
      <c r="L5" s="8">
        <v>1707</v>
      </c>
      <c r="M5" s="8">
        <v>2562</v>
      </c>
      <c r="N5" s="8">
        <f>8758-M5-K5-K5</f>
        <v>3030</v>
      </c>
      <c r="O5" s="8">
        <v>2465</v>
      </c>
      <c r="P5" s="8">
        <v>2183</v>
      </c>
      <c r="Q5" s="8">
        <v>1870</v>
      </c>
      <c r="R5" s="8">
        <v>2309</v>
      </c>
      <c r="S5" s="8">
        <v>15001</v>
      </c>
      <c r="T5" s="8">
        <v>2000</v>
      </c>
      <c r="U5" s="8">
        <v>2000</v>
      </c>
      <c r="V5" s="8">
        <v>2000</v>
      </c>
      <c r="X5" s="7">
        <f>SUM(C5:F5)</f>
        <v>6279</v>
      </c>
      <c r="Y5" s="8">
        <v>7173</v>
      </c>
      <c r="Z5" s="7">
        <f>SUM(K5:N5)</f>
        <v>8882</v>
      </c>
      <c r="AA5" s="7">
        <f>SUM(O5:R5)</f>
        <v>8827</v>
      </c>
    </row>
    <row r="6" spans="1:27" s="3" customFormat="1" x14ac:dyDescent="0.2">
      <c r="B6" s="3" t="s">
        <v>22</v>
      </c>
      <c r="C6" s="5"/>
      <c r="D6" s="5"/>
      <c r="E6" s="5"/>
      <c r="F6" s="5"/>
      <c r="G6" s="5"/>
      <c r="H6" s="5"/>
      <c r="I6" s="5"/>
      <c r="J6" s="5"/>
      <c r="K6" s="5">
        <v>1162</v>
      </c>
      <c r="L6" s="5">
        <v>1002</v>
      </c>
      <c r="M6" s="5">
        <v>1033</v>
      </c>
      <c r="N6" s="5">
        <f>4136-M6-L6-K6</f>
        <v>939</v>
      </c>
      <c r="O6" s="5">
        <v>806</v>
      </c>
      <c r="P6" s="5">
        <v>795</v>
      </c>
      <c r="Q6" s="5">
        <v>827</v>
      </c>
      <c r="R6" s="5">
        <v>836</v>
      </c>
      <c r="S6" s="5">
        <v>1124</v>
      </c>
      <c r="T6" s="5"/>
      <c r="U6" s="5"/>
      <c r="V6" s="5"/>
      <c r="Y6" s="5">
        <v>2923</v>
      </c>
      <c r="Z6" s="3">
        <f>SUM(K6:N6)</f>
        <v>4136</v>
      </c>
      <c r="AA6" s="3">
        <f>SUM(O6:R6)</f>
        <v>3264</v>
      </c>
    </row>
    <row r="7" spans="1:27" s="3" customFormat="1" x14ac:dyDescent="0.2">
      <c r="B7" s="3" t="s">
        <v>23</v>
      </c>
      <c r="C7" s="5"/>
      <c r="D7" s="5"/>
      <c r="E7" s="5"/>
      <c r="F7" s="5"/>
      <c r="G7" s="5"/>
      <c r="H7" s="5"/>
      <c r="I7" s="5"/>
      <c r="J7" s="5"/>
      <c r="K7" s="5">
        <f t="shared" ref="K7:Q7" si="0">+K5-K6</f>
        <v>421</v>
      </c>
      <c r="L7" s="5">
        <f t="shared" si="0"/>
        <v>705</v>
      </c>
      <c r="M7" s="5">
        <f t="shared" si="0"/>
        <v>1529</v>
      </c>
      <c r="N7" s="5">
        <f t="shared" si="0"/>
        <v>2091</v>
      </c>
      <c r="O7" s="5">
        <f t="shared" si="0"/>
        <v>1659</v>
      </c>
      <c r="P7" s="5">
        <f t="shared" si="0"/>
        <v>1388</v>
      </c>
      <c r="Q7" s="5">
        <f t="shared" si="0"/>
        <v>1043</v>
      </c>
      <c r="R7" s="5">
        <f>+R5-R6</f>
        <v>1473</v>
      </c>
      <c r="S7" s="5">
        <f>+S5-S6</f>
        <v>13877</v>
      </c>
      <c r="T7" s="5"/>
      <c r="U7" s="5"/>
      <c r="V7" s="5"/>
      <c r="Y7" s="5">
        <f>+Y5-Y6</f>
        <v>4250</v>
      </c>
      <c r="Z7" s="3">
        <f>+Z5-Z6</f>
        <v>4746</v>
      </c>
      <c r="AA7" s="3">
        <f>+AA5-AA6</f>
        <v>5563</v>
      </c>
    </row>
    <row r="8" spans="1:27" s="3" customFormat="1" x14ac:dyDescent="0.2">
      <c r="B8" s="3" t="s">
        <v>24</v>
      </c>
      <c r="C8" s="5"/>
      <c r="D8" s="5"/>
      <c r="E8" s="5"/>
      <c r="F8" s="5"/>
      <c r="G8" s="5"/>
      <c r="H8" s="5"/>
      <c r="I8" s="5"/>
      <c r="J8" s="5"/>
      <c r="K8" s="5">
        <v>10915</v>
      </c>
      <c r="L8" s="5">
        <v>9548</v>
      </c>
      <c r="M8" s="5">
        <v>9459</v>
      </c>
      <c r="N8" s="5">
        <f>37878-M8-L8-K8</f>
        <v>7956</v>
      </c>
      <c r="O8" s="5">
        <v>8525</v>
      </c>
      <c r="P8" s="5">
        <v>8355</v>
      </c>
      <c r="Q8" s="5">
        <v>8668</v>
      </c>
      <c r="R8" s="5">
        <v>9752</v>
      </c>
      <c r="S8" s="5">
        <v>10288</v>
      </c>
      <c r="T8" s="5"/>
      <c r="U8" s="5"/>
      <c r="V8" s="5"/>
      <c r="Y8" s="5">
        <v>32101</v>
      </c>
      <c r="Z8" s="3">
        <f t="shared" ref="Z8:Z10" si="1">SUM(K8:N8)</f>
        <v>37878</v>
      </c>
      <c r="AA8" s="3">
        <f t="shared" ref="AA8:AA10" si="2">SUM(O8:R8)</f>
        <v>35300</v>
      </c>
    </row>
    <row r="9" spans="1:27" s="3" customFormat="1" x14ac:dyDescent="0.2">
      <c r="B9" s="3" t="s">
        <v>25</v>
      </c>
      <c r="C9" s="5"/>
      <c r="D9" s="5"/>
      <c r="E9" s="5"/>
      <c r="F9" s="5"/>
      <c r="G9" s="5"/>
      <c r="H9" s="5"/>
      <c r="I9" s="5"/>
      <c r="J9" s="5"/>
      <c r="K9" s="5">
        <v>11296</v>
      </c>
      <c r="L9" s="5">
        <v>9576</v>
      </c>
      <c r="M9" s="5">
        <v>8003</v>
      </c>
      <c r="N9" s="5">
        <f>37014-M9-L9-K9</f>
        <v>8139</v>
      </c>
      <c r="O9" s="5">
        <v>7566</v>
      </c>
      <c r="P9" s="5">
        <v>7471</v>
      </c>
      <c r="Q9" s="5">
        <v>9259</v>
      </c>
      <c r="R9" s="5">
        <v>8126</v>
      </c>
      <c r="S9" s="5">
        <v>7957</v>
      </c>
      <c r="T9" s="5"/>
      <c r="U9" s="5"/>
      <c r="V9" s="5"/>
      <c r="Y9" s="5">
        <v>21539</v>
      </c>
      <c r="Z9" s="3">
        <f t="shared" si="1"/>
        <v>37014</v>
      </c>
      <c r="AA9" s="3">
        <f t="shared" si="2"/>
        <v>32422</v>
      </c>
    </row>
    <row r="10" spans="1:27" s="3" customFormat="1" x14ac:dyDescent="0.2">
      <c r="B10" s="3" t="s">
        <v>26</v>
      </c>
      <c r="C10" s="5"/>
      <c r="D10" s="5"/>
      <c r="E10" s="5"/>
      <c r="F10" s="5"/>
      <c r="G10" s="5"/>
      <c r="H10" s="5"/>
      <c r="I10" s="5"/>
      <c r="J10" s="5"/>
      <c r="K10" s="5">
        <v>2900</v>
      </c>
      <c r="L10" s="5">
        <v>2488</v>
      </c>
      <c r="M10" s="5">
        <v>2474</v>
      </c>
      <c r="N10" s="5">
        <f>10276-M10-L10-K10</f>
        <v>2414</v>
      </c>
      <c r="O10" s="5">
        <v>3084</v>
      </c>
      <c r="P10" s="5">
        <v>4401</v>
      </c>
      <c r="Q10" s="5">
        <v>3752</v>
      </c>
      <c r="R10" s="5">
        <v>3827</v>
      </c>
      <c r="S10" s="5">
        <v>6923</v>
      </c>
      <c r="T10" s="5"/>
      <c r="U10" s="5"/>
      <c r="V10" s="5"/>
      <c r="Y10" s="5">
        <v>10068</v>
      </c>
      <c r="Z10" s="3">
        <f t="shared" si="1"/>
        <v>10276</v>
      </c>
      <c r="AA10" s="3">
        <f t="shared" si="2"/>
        <v>15064</v>
      </c>
    </row>
    <row r="11" spans="1:27" s="3" customFormat="1" x14ac:dyDescent="0.2">
      <c r="B11" s="3" t="s">
        <v>27</v>
      </c>
      <c r="C11" s="5"/>
      <c r="D11" s="5"/>
      <c r="E11" s="5"/>
      <c r="F11" s="5"/>
      <c r="G11" s="5"/>
      <c r="H11" s="5"/>
      <c r="I11" s="5"/>
      <c r="J11" s="5"/>
      <c r="K11" s="5">
        <f t="shared" ref="K11:Q11" si="3">SUM(K8:K10)</f>
        <v>25111</v>
      </c>
      <c r="L11" s="5">
        <f t="shared" si="3"/>
        <v>21612</v>
      </c>
      <c r="M11" s="5">
        <f t="shared" si="3"/>
        <v>19936</v>
      </c>
      <c r="N11" s="5">
        <f t="shared" si="3"/>
        <v>18509</v>
      </c>
      <c r="O11" s="5">
        <f t="shared" si="3"/>
        <v>19175</v>
      </c>
      <c r="P11" s="5">
        <f t="shared" si="3"/>
        <v>20227</v>
      </c>
      <c r="Q11" s="5">
        <f t="shared" si="3"/>
        <v>21679</v>
      </c>
      <c r="R11" s="5">
        <f t="shared" ref="R11:S11" si="4">SUM(R8:R10)</f>
        <v>21705</v>
      </c>
      <c r="S11" s="5">
        <f t="shared" si="4"/>
        <v>25168</v>
      </c>
      <c r="T11" s="5"/>
      <c r="U11" s="5"/>
      <c r="V11" s="5"/>
      <c r="Y11" s="5">
        <f>SUM(Y8:Y10)</f>
        <v>63708</v>
      </c>
      <c r="Z11" s="5">
        <f>SUM(Z8:Z10)</f>
        <v>85168</v>
      </c>
      <c r="AA11" s="5">
        <f>SUM(AA8:AA10)</f>
        <v>82786</v>
      </c>
    </row>
    <row r="12" spans="1:27" s="3" customFormat="1" x14ac:dyDescent="0.2">
      <c r="B12" s="3" t="s">
        <v>28</v>
      </c>
      <c r="C12" s="5"/>
      <c r="D12" s="5"/>
      <c r="E12" s="5"/>
      <c r="F12" s="5"/>
      <c r="G12" s="5"/>
      <c r="H12" s="5"/>
      <c r="I12" s="5"/>
      <c r="J12" s="5"/>
      <c r="K12" s="5">
        <f t="shared" ref="K12:Q12" si="5">+K7-K11</f>
        <v>-24690</v>
      </c>
      <c r="L12" s="5">
        <f t="shared" si="5"/>
        <v>-20907</v>
      </c>
      <c r="M12" s="5">
        <f t="shared" si="5"/>
        <v>-18407</v>
      </c>
      <c r="N12" s="5">
        <f t="shared" si="5"/>
        <v>-16418</v>
      </c>
      <c r="O12" s="5">
        <f t="shared" si="5"/>
        <v>-17516</v>
      </c>
      <c r="P12" s="5">
        <f t="shared" si="5"/>
        <v>-18839</v>
      </c>
      <c r="Q12" s="5">
        <f t="shared" si="5"/>
        <v>-20636</v>
      </c>
      <c r="R12" s="5">
        <f t="shared" ref="R12:S12" si="6">+R7-R11</f>
        <v>-20232</v>
      </c>
      <c r="S12" s="5">
        <f t="shared" si="6"/>
        <v>-11291</v>
      </c>
      <c r="T12" s="5"/>
      <c r="U12" s="5"/>
      <c r="V12" s="5"/>
      <c r="Y12" s="5">
        <f>+Y7-Y11</f>
        <v>-59458</v>
      </c>
      <c r="Z12" s="5">
        <f>+Z7-Z11</f>
        <v>-80422</v>
      </c>
      <c r="AA12" s="5">
        <f>+AA7-AA11</f>
        <v>-77223</v>
      </c>
    </row>
    <row r="13" spans="1:27" x14ac:dyDescent="0.2">
      <c r="B13" s="1" t="s">
        <v>29</v>
      </c>
      <c r="K13" s="5">
        <v>-212</v>
      </c>
      <c r="L13" s="5">
        <v>-575</v>
      </c>
      <c r="M13" s="5">
        <v>-1035</v>
      </c>
      <c r="N13" s="5">
        <f>-37-M13-L13-K13-2118</f>
        <v>-333</v>
      </c>
      <c r="O13" s="5">
        <v>-1140</v>
      </c>
      <c r="P13" s="5">
        <v>-1160</v>
      </c>
      <c r="Q13" s="5">
        <v>-1180</v>
      </c>
      <c r="R13" s="4">
        <v>-417</v>
      </c>
      <c r="S13" s="4">
        <v>-226</v>
      </c>
      <c r="Y13" s="5">
        <v>-2335</v>
      </c>
      <c r="Z13" s="3">
        <f t="shared" ref="Z13" si="7">SUM(K13:N13)</f>
        <v>-2155</v>
      </c>
      <c r="AA13" s="3">
        <f t="shared" ref="AA13:AA15" si="8">SUM(O13:R13)</f>
        <v>-3897</v>
      </c>
    </row>
    <row r="14" spans="1:27" x14ac:dyDescent="0.2">
      <c r="B14" s="1" t="s">
        <v>30</v>
      </c>
      <c r="K14" s="5">
        <f t="shared" ref="K14:S14" si="9">+K12+K13</f>
        <v>-24902</v>
      </c>
      <c r="L14" s="5">
        <f t="shared" si="9"/>
        <v>-21482</v>
      </c>
      <c r="M14" s="5">
        <f t="shared" si="9"/>
        <v>-19442</v>
      </c>
      <c r="N14" s="5">
        <f t="shared" si="9"/>
        <v>-16751</v>
      </c>
      <c r="O14" s="5">
        <f t="shared" si="9"/>
        <v>-18656</v>
      </c>
      <c r="P14" s="5">
        <f t="shared" si="9"/>
        <v>-19999</v>
      </c>
      <c r="Q14" s="5">
        <f t="shared" si="9"/>
        <v>-21816</v>
      </c>
      <c r="R14" s="5">
        <f t="shared" si="9"/>
        <v>-20649</v>
      </c>
      <c r="S14" s="5">
        <f t="shared" si="9"/>
        <v>-11517</v>
      </c>
      <c r="Y14" s="5">
        <f>+Y12+Y13</f>
        <v>-61793</v>
      </c>
      <c r="Z14" s="5">
        <f>+Z12+Z13</f>
        <v>-82577</v>
      </c>
      <c r="AA14" s="5">
        <f>+AA12+AA13</f>
        <v>-81120</v>
      </c>
    </row>
    <row r="15" spans="1:27" x14ac:dyDescent="0.2">
      <c r="B15" s="1" t="s">
        <v>31</v>
      </c>
      <c r="K15" s="5">
        <v>0</v>
      </c>
      <c r="L15" s="5">
        <v>0</v>
      </c>
      <c r="M15" s="5">
        <v>0</v>
      </c>
      <c r="N15" s="4">
        <v>0</v>
      </c>
      <c r="O15" s="5">
        <v>0</v>
      </c>
      <c r="P15" s="5">
        <v>0</v>
      </c>
      <c r="Q15" s="5">
        <v>0</v>
      </c>
      <c r="R15" s="5">
        <v>0</v>
      </c>
      <c r="S15" s="4">
        <v>0</v>
      </c>
      <c r="Y15" s="5">
        <v>0</v>
      </c>
      <c r="Z15" s="1">
        <v>0</v>
      </c>
      <c r="AA15" s="3">
        <f t="shared" si="8"/>
        <v>0</v>
      </c>
    </row>
    <row r="16" spans="1:27" x14ac:dyDescent="0.2">
      <c r="B16" s="1" t="s">
        <v>32</v>
      </c>
      <c r="K16" s="5">
        <f t="shared" ref="K16:S16" si="10">+K14-K15</f>
        <v>-24902</v>
      </c>
      <c r="L16" s="5">
        <f t="shared" si="10"/>
        <v>-21482</v>
      </c>
      <c r="M16" s="5">
        <f t="shared" si="10"/>
        <v>-19442</v>
      </c>
      <c r="N16" s="5">
        <f t="shared" si="10"/>
        <v>-16751</v>
      </c>
      <c r="O16" s="5">
        <f t="shared" si="10"/>
        <v>-18656</v>
      </c>
      <c r="P16" s="5">
        <f t="shared" si="10"/>
        <v>-19999</v>
      </c>
      <c r="Q16" s="5">
        <f t="shared" si="10"/>
        <v>-21816</v>
      </c>
      <c r="R16" s="5">
        <f t="shared" si="10"/>
        <v>-20649</v>
      </c>
      <c r="S16" s="5">
        <f t="shared" si="10"/>
        <v>-11517</v>
      </c>
      <c r="Y16" s="5">
        <f>+Y14-Y15</f>
        <v>-61793</v>
      </c>
      <c r="Z16" s="5">
        <f>+Z14-Z15</f>
        <v>-82577</v>
      </c>
      <c r="AA16" s="5">
        <f>+AA14-AA15</f>
        <v>-81120</v>
      </c>
    </row>
    <row r="17" spans="2:27" x14ac:dyDescent="0.2">
      <c r="B17" s="1" t="s">
        <v>33</v>
      </c>
      <c r="K17" s="6">
        <f t="shared" ref="K17:S17" si="11">+K16/K18</f>
        <v>-0.20221838160866129</v>
      </c>
      <c r="L17" s="6">
        <f t="shared" si="11"/>
        <v>-0.16870075204552409</v>
      </c>
      <c r="M17" s="6">
        <f t="shared" si="11"/>
        <v>-0.14593556466674945</v>
      </c>
      <c r="N17" s="6">
        <f t="shared" si="11"/>
        <v>-0.12138956800184031</v>
      </c>
      <c r="O17" s="6">
        <f t="shared" si="11"/>
        <v>-0.11565417294526779</v>
      </c>
      <c r="P17" s="6">
        <f t="shared" si="11"/>
        <v>-0.11617930930677366</v>
      </c>
      <c r="Q17" s="6">
        <f t="shared" si="11"/>
        <v>-0.10822205182749896</v>
      </c>
      <c r="R17" s="6">
        <f t="shared" si="11"/>
        <v>-0.10243294591978483</v>
      </c>
      <c r="S17" s="6">
        <f t="shared" si="11"/>
        <v>-4.0210128347922619E-2</v>
      </c>
      <c r="Y17" s="6">
        <f>+Y16/Y18</f>
        <v>-0.51645756861826186</v>
      </c>
      <c r="Z17" s="6">
        <f>+Z16/Z18</f>
        <v>-0.59841122063685559</v>
      </c>
      <c r="AA17" s="6">
        <f>+AA16/AA18</f>
        <v>-0.40240982967760885</v>
      </c>
    </row>
    <row r="18" spans="2:27" s="3" customFormat="1" x14ac:dyDescent="0.2">
      <c r="B18" s="3" t="s">
        <v>1</v>
      </c>
      <c r="C18" s="5"/>
      <c r="D18" s="5"/>
      <c r="E18" s="5"/>
      <c r="F18" s="5"/>
      <c r="G18" s="5"/>
      <c r="H18" s="5"/>
      <c r="I18" s="5"/>
      <c r="J18" s="5"/>
      <c r="K18" s="5">
        <v>123144.09699999999</v>
      </c>
      <c r="L18" s="5">
        <v>127337.90300000001</v>
      </c>
      <c r="M18" s="5">
        <v>133223.18</v>
      </c>
      <c r="N18" s="5">
        <v>137993.736</v>
      </c>
      <c r="O18" s="5">
        <v>161308.49</v>
      </c>
      <c r="P18" s="5">
        <v>172139.08499999999</v>
      </c>
      <c r="Q18" s="5">
        <v>201585.533</v>
      </c>
      <c r="R18" s="5">
        <f>+Q18</f>
        <v>201585.533</v>
      </c>
      <c r="S18" s="5">
        <v>286420.37400000001</v>
      </c>
      <c r="T18" s="5"/>
      <c r="U18" s="5"/>
      <c r="V18" s="5"/>
      <c r="Y18" s="5">
        <v>119647.777</v>
      </c>
      <c r="Z18" s="3">
        <f>+N18</f>
        <v>137993.736</v>
      </c>
      <c r="AA18" s="3">
        <f>+Q18</f>
        <v>201585.533</v>
      </c>
    </row>
    <row r="19" spans="2:27" x14ac:dyDescent="0.2">
      <c r="Y19" s="4"/>
    </row>
    <row r="20" spans="2:27" x14ac:dyDescent="0.2">
      <c r="B20" s="1" t="s">
        <v>38</v>
      </c>
      <c r="N20" s="9">
        <f t="shared" ref="N20:P20" si="12">N5/J5-1</f>
        <v>0.2651356993736953</v>
      </c>
      <c r="O20" s="9">
        <f t="shared" si="12"/>
        <v>0.55716993051168662</v>
      </c>
      <c r="P20" s="9">
        <f t="shared" si="12"/>
        <v>0.27885178676039835</v>
      </c>
      <c r="Q20" s="9">
        <f>Q5/M5-1</f>
        <v>-0.27010148321623728</v>
      </c>
      <c r="R20" s="9">
        <f>R5/N5-1</f>
        <v>-0.23795379537953798</v>
      </c>
      <c r="S20" s="9">
        <f>S5/O5-1</f>
        <v>5.0855983772819471</v>
      </c>
      <c r="Y20" s="11">
        <f t="shared" ref="Y20" si="13">+Y5/X5-1</f>
        <v>0.14237935977066418</v>
      </c>
      <c r="Z20" s="11">
        <f>+Z5/Y5-1</f>
        <v>0.2382545657326085</v>
      </c>
      <c r="AA20" s="11">
        <f>+AA5/Z5-1</f>
        <v>-6.1922990317495596E-3</v>
      </c>
    </row>
  </sheetData>
  <hyperlinks>
    <hyperlink ref="A1" location="Main!A1" display="Main" xr:uid="{7C0E4B22-6542-4072-8BDD-71314D4BA52C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DDA0-F523-4D76-8F6C-D34B31788E98}">
  <dimension ref="A1:C3"/>
  <sheetViews>
    <sheetView zoomScaleNormal="100" workbookViewId="0">
      <selection activeCell="B2" sqref="B2"/>
    </sheetView>
  </sheetViews>
  <sheetFormatPr defaultColWidth="8.7109375" defaultRowHeight="12.75" x14ac:dyDescent="0.2"/>
  <cols>
    <col min="1" max="1" width="5.140625" style="19" customWidth="1"/>
    <col min="2" max="2" width="9.140625" style="19" bestFit="1" customWidth="1"/>
    <col min="3" max="16384" width="8.7109375" style="19"/>
  </cols>
  <sheetData>
    <row r="1" spans="1:3" x14ac:dyDescent="0.2">
      <c r="A1" s="10" t="s">
        <v>9</v>
      </c>
    </row>
    <row r="2" spans="1:3" x14ac:dyDescent="0.2">
      <c r="B2" s="19" t="s">
        <v>45</v>
      </c>
      <c r="C2" s="19" t="s">
        <v>44</v>
      </c>
    </row>
    <row r="3" spans="1:3" x14ac:dyDescent="0.2">
      <c r="C3" s="19" t="s">
        <v>46</v>
      </c>
    </row>
  </sheetData>
  <hyperlinks>
    <hyperlink ref="A1" location="Main!A1" display="Main" xr:uid="{90A42705-5BF2-4742-A600-55A6A004365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QUBO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2025-01-06T16:41:12Z</dcterms:created>
  <dcterms:modified xsi:type="dcterms:W3CDTF">2025-10-14T15:28:12Z</dcterms:modified>
</cp:coreProperties>
</file>