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6CE736A1-D8C3-4168-9E02-AE7965E4943C}" xr6:coauthVersionLast="47" xr6:coauthVersionMax="47" xr10:uidLastSave="{00000000-0000-0000-0000-000000000000}"/>
  <bookViews>
    <workbookView xWindow="3900" yWindow="3900" windowWidth="18075" windowHeight="16020" xr2:uid="{C60DEAD5-D901-47C9-BE5F-DBB201B3DB6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" i="2" l="1"/>
  <c r="U20" i="2"/>
  <c r="V20" i="2"/>
  <c r="W20" i="2"/>
  <c r="X20" i="2"/>
  <c r="Y20" i="2"/>
  <c r="Z20" i="2"/>
  <c r="AA20" i="2"/>
  <c r="AB20" i="2"/>
  <c r="AC20" i="2"/>
  <c r="AD20" i="2"/>
  <c r="S20" i="2"/>
  <c r="T19" i="2"/>
  <c r="U19" i="2"/>
  <c r="V19" i="2"/>
  <c r="W19" i="2"/>
  <c r="X19" i="2"/>
  <c r="Y19" i="2"/>
  <c r="Z19" i="2"/>
  <c r="AA19" i="2"/>
  <c r="AB19" i="2"/>
  <c r="AC19" i="2"/>
  <c r="AD19" i="2"/>
  <c r="S19" i="2"/>
  <c r="Y75" i="2"/>
  <c r="Z75" i="2" s="1"/>
  <c r="AA75" i="2" s="1"/>
  <c r="AB75" i="2" s="1"/>
  <c r="AC75" i="2" s="1"/>
  <c r="AD75" i="2" s="1"/>
  <c r="X75" i="2"/>
  <c r="T85" i="2"/>
  <c r="T87" i="2"/>
  <c r="U76" i="2"/>
  <c r="U78" i="2" s="1"/>
  <c r="T72" i="2"/>
  <c r="T89" i="2"/>
  <c r="AD89" i="2"/>
  <c r="AC89" i="2"/>
  <c r="AB89" i="2"/>
  <c r="AA89" i="2"/>
  <c r="Z89" i="2"/>
  <c r="Y89" i="2"/>
  <c r="X89" i="2"/>
  <c r="W89" i="2"/>
  <c r="V89" i="2"/>
  <c r="U89" i="2"/>
  <c r="S86" i="2"/>
  <c r="S84" i="2"/>
  <c r="U85" i="2"/>
  <c r="V85" i="2" s="1"/>
  <c r="W85" i="2" s="1"/>
  <c r="X85" i="2" s="1"/>
  <c r="Y85" i="2" s="1"/>
  <c r="Z85" i="2" s="1"/>
  <c r="AA85" i="2" s="1"/>
  <c r="AB85" i="2" s="1"/>
  <c r="AC85" i="2" s="1"/>
  <c r="AD85" i="2" s="1"/>
  <c r="U83" i="2"/>
  <c r="R6" i="2"/>
  <c r="S6" i="2"/>
  <c r="R8" i="2"/>
  <c r="R9" i="2"/>
  <c r="R17" i="2"/>
  <c r="T76" i="2"/>
  <c r="T78" i="2" s="1"/>
  <c r="T80" i="2" s="1"/>
  <c r="S76" i="2"/>
  <c r="S78" i="2" s="1"/>
  <c r="R72" i="2"/>
  <c r="Q72" i="2"/>
  <c r="M56" i="2"/>
  <c r="I64" i="2"/>
  <c r="I68" i="2" s="1"/>
  <c r="I57" i="2"/>
  <c r="I60" i="2"/>
  <c r="I53" i="2"/>
  <c r="I51" i="2"/>
  <c r="M17" i="2"/>
  <c r="S17" i="2" s="1"/>
  <c r="T17" i="2" s="1"/>
  <c r="U17" i="2" s="1"/>
  <c r="V17" i="2" s="1"/>
  <c r="M9" i="2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M8" i="2"/>
  <c r="S8" i="2" s="1"/>
  <c r="E12" i="2"/>
  <c r="E10" i="2"/>
  <c r="E5" i="2"/>
  <c r="I12" i="2"/>
  <c r="I10" i="2"/>
  <c r="I5" i="2"/>
  <c r="I7" i="2" s="1"/>
  <c r="I20" i="2" s="1"/>
  <c r="I54" i="2" l="1"/>
  <c r="R10" i="2"/>
  <c r="S10" i="2"/>
  <c r="I61" i="2"/>
  <c r="T8" i="2"/>
  <c r="T10" i="2" s="1"/>
  <c r="I72" i="2"/>
  <c r="M72" i="2" s="1"/>
  <c r="M54" i="2"/>
  <c r="M10" i="2"/>
  <c r="I70" i="2"/>
  <c r="W17" i="2"/>
  <c r="I19" i="2"/>
  <c r="E7" i="2"/>
  <c r="E11" i="2" s="1"/>
  <c r="E13" i="2" s="1"/>
  <c r="E15" i="2" s="1"/>
  <c r="E16" i="2" s="1"/>
  <c r="I11" i="2"/>
  <c r="I13" i="2" s="1"/>
  <c r="I15" i="2" s="1"/>
  <c r="V76" i="2" l="1"/>
  <c r="V78" i="2" s="1"/>
  <c r="U8" i="2"/>
  <c r="I16" i="2"/>
  <c r="I45" i="2"/>
  <c r="X17" i="2"/>
  <c r="W76" i="2" l="1"/>
  <c r="W78" i="2" s="1"/>
  <c r="U10" i="2"/>
  <c r="V8" i="2"/>
  <c r="Y17" i="2"/>
  <c r="X78" i="2" l="1"/>
  <c r="W8" i="2"/>
  <c r="V10" i="2"/>
  <c r="Z17" i="2"/>
  <c r="Y78" i="2" l="1"/>
  <c r="X8" i="2"/>
  <c r="W10" i="2"/>
  <c r="AA17" i="2"/>
  <c r="Z78" i="2" l="1"/>
  <c r="X10" i="2"/>
  <c r="Y8" i="2"/>
  <c r="AB17" i="2"/>
  <c r="AA78" i="2" l="1"/>
  <c r="Z8" i="2"/>
  <c r="Y10" i="2"/>
  <c r="AC17" i="2"/>
  <c r="AB78" i="2" l="1"/>
  <c r="AA8" i="2"/>
  <c r="Z10" i="2"/>
  <c r="AD17" i="2"/>
  <c r="AD78" i="2" l="1"/>
  <c r="AC78" i="2"/>
  <c r="AA10" i="2"/>
  <c r="AB8" i="2"/>
  <c r="AC8" i="2" l="1"/>
  <c r="AB10" i="2"/>
  <c r="AC10" i="2" l="1"/>
  <c r="AD8" i="2"/>
  <c r="AD10" i="2" s="1"/>
  <c r="L12" i="2" l="1"/>
  <c r="M12" i="2" s="1"/>
  <c r="K69" i="2"/>
  <c r="K67" i="2"/>
  <c r="L67" i="2" s="1"/>
  <c r="K66" i="2"/>
  <c r="L66" i="2" s="1"/>
  <c r="K65" i="2"/>
  <c r="L65" i="2" s="1"/>
  <c r="K64" i="2"/>
  <c r="L64" i="2" s="1"/>
  <c r="K63" i="2"/>
  <c r="K60" i="2"/>
  <c r="L60" i="2" s="1"/>
  <c r="K57" i="2"/>
  <c r="L57" i="2" s="1"/>
  <c r="K59" i="2"/>
  <c r="L59" i="2" s="1"/>
  <c r="K58" i="2"/>
  <c r="L58" i="2" s="1"/>
  <c r="K56" i="2"/>
  <c r="K53" i="2"/>
  <c r="K52" i="2"/>
  <c r="L52" i="2" s="1"/>
  <c r="K51" i="2"/>
  <c r="L51" i="2" s="1"/>
  <c r="K50" i="2"/>
  <c r="L50" i="2" s="1"/>
  <c r="K49" i="2"/>
  <c r="L49" i="2" s="1"/>
  <c r="K48" i="2"/>
  <c r="L48" i="2" s="1"/>
  <c r="K47" i="2"/>
  <c r="L47" i="2" s="1"/>
  <c r="K46" i="2"/>
  <c r="L46" i="2" s="1"/>
  <c r="J68" i="2"/>
  <c r="J57" i="2"/>
  <c r="J61" i="2" s="1"/>
  <c r="J53" i="2"/>
  <c r="J54" i="2" s="1"/>
  <c r="F14" i="2"/>
  <c r="G14" i="2"/>
  <c r="H14" i="2"/>
  <c r="L14" i="2"/>
  <c r="K14" i="2"/>
  <c r="J14" i="2"/>
  <c r="J12" i="2"/>
  <c r="F10" i="2"/>
  <c r="F12" i="2"/>
  <c r="F5" i="2"/>
  <c r="J10" i="2"/>
  <c r="J5" i="2"/>
  <c r="J39" i="2"/>
  <c r="J37" i="2"/>
  <c r="J36" i="2"/>
  <c r="J27" i="2"/>
  <c r="J30" i="2"/>
  <c r="J23" i="2"/>
  <c r="G12" i="2"/>
  <c r="G10" i="2"/>
  <c r="G5" i="2"/>
  <c r="G7" i="2" s="1"/>
  <c r="G20" i="2" s="1"/>
  <c r="K12" i="2"/>
  <c r="K10" i="2"/>
  <c r="K5" i="2"/>
  <c r="K7" i="2" s="1"/>
  <c r="K20" i="2" s="1"/>
  <c r="K37" i="2"/>
  <c r="K36" i="2"/>
  <c r="K43" i="2" s="1"/>
  <c r="K30" i="2"/>
  <c r="K23" i="2"/>
  <c r="L36" i="2"/>
  <c r="L37" i="2"/>
  <c r="L30" i="2"/>
  <c r="L23" i="2"/>
  <c r="H12" i="2"/>
  <c r="H10" i="2"/>
  <c r="H5" i="2"/>
  <c r="H7" i="2" s="1"/>
  <c r="H20" i="2" s="1"/>
  <c r="L10" i="2"/>
  <c r="L5" i="2"/>
  <c r="L7" i="2" s="1"/>
  <c r="L20" i="2" s="1"/>
  <c r="L7" i="1"/>
  <c r="L6" i="1"/>
  <c r="L5" i="1"/>
  <c r="L4" i="1"/>
  <c r="K68" i="2" l="1"/>
  <c r="S12" i="2"/>
  <c r="R5" i="2"/>
  <c r="R7" i="2" s="1"/>
  <c r="R11" i="2" s="1"/>
  <c r="R12" i="2"/>
  <c r="L32" i="2"/>
  <c r="L22" i="2"/>
  <c r="L56" i="2"/>
  <c r="S56" i="2" s="1"/>
  <c r="R14" i="2"/>
  <c r="L63" i="2"/>
  <c r="L68" i="2" s="1"/>
  <c r="J72" i="2"/>
  <c r="L61" i="2"/>
  <c r="F7" i="2"/>
  <c r="F20" i="2" s="1"/>
  <c r="K61" i="2"/>
  <c r="K54" i="2"/>
  <c r="K72" i="2" s="1"/>
  <c r="J7" i="2"/>
  <c r="J20" i="2" s="1"/>
  <c r="M5" i="2"/>
  <c r="L69" i="2"/>
  <c r="L53" i="2"/>
  <c r="L54" i="2" s="1"/>
  <c r="L72" i="2" s="1"/>
  <c r="J70" i="2"/>
  <c r="J19" i="2"/>
  <c r="J11" i="2"/>
  <c r="J13" i="2" s="1"/>
  <c r="J15" i="2" s="1"/>
  <c r="J32" i="2"/>
  <c r="L43" i="2"/>
  <c r="K19" i="2"/>
  <c r="L19" i="2"/>
  <c r="J43" i="2"/>
  <c r="K32" i="2"/>
  <c r="G11" i="2"/>
  <c r="G13" i="2" s="1"/>
  <c r="G15" i="2" s="1"/>
  <c r="G16" i="2" s="1"/>
  <c r="K11" i="2"/>
  <c r="K13" i="2" s="1"/>
  <c r="K15" i="2" s="1"/>
  <c r="H11" i="2"/>
  <c r="H13" i="2" s="1"/>
  <c r="H15" i="2" s="1"/>
  <c r="H16" i="2" s="1"/>
  <c r="F11" i="2" l="1"/>
  <c r="F13" i="2" s="1"/>
  <c r="F15" i="2" s="1"/>
  <c r="F16" i="2" s="1"/>
  <c r="R13" i="2"/>
  <c r="R15" i="2" s="1"/>
  <c r="R16" i="2" s="1"/>
  <c r="M19" i="2"/>
  <c r="M7" i="2"/>
  <c r="L11" i="2"/>
  <c r="L13" i="2" s="1"/>
  <c r="L15" i="2" s="1"/>
  <c r="K70" i="2"/>
  <c r="S72" i="2"/>
  <c r="S80" i="2" s="1"/>
  <c r="S54" i="2"/>
  <c r="S5" i="2"/>
  <c r="L70" i="2"/>
  <c r="L16" i="2"/>
  <c r="L45" i="2"/>
  <c r="K16" i="2"/>
  <c r="K45" i="2"/>
  <c r="J16" i="2"/>
  <c r="J45" i="2"/>
  <c r="S82" i="2" l="1"/>
  <c r="S81" i="2"/>
  <c r="M11" i="2"/>
  <c r="M13" i="2" s="1"/>
  <c r="M14" i="2" s="1"/>
  <c r="M20" i="2"/>
  <c r="T5" i="2"/>
  <c r="T7" i="2" s="1"/>
  <c r="T11" i="2" s="1"/>
  <c r="S7" i="2"/>
  <c r="M15" i="2"/>
  <c r="S14" i="2"/>
  <c r="M16" i="2" l="1"/>
  <c r="M22" i="2"/>
  <c r="S22" i="2" s="1"/>
  <c r="T12" i="2" s="1"/>
  <c r="S11" i="2"/>
  <c r="S13" i="2" s="1"/>
  <c r="S15" i="2" s="1"/>
  <c r="S16" i="2" s="1"/>
  <c r="U5" i="2"/>
  <c r="T13" i="2"/>
  <c r="T14" i="2" l="1"/>
  <c r="T15" i="2" s="1"/>
  <c r="T6" i="2"/>
  <c r="V5" i="2"/>
  <c r="U7" i="2"/>
  <c r="U11" i="2" s="1"/>
  <c r="T22" i="2" l="1"/>
  <c r="T16" i="2"/>
  <c r="U12" i="2"/>
  <c r="U13" i="2" s="1"/>
  <c r="U6" i="2"/>
  <c r="W5" i="2"/>
  <c r="V7" i="2"/>
  <c r="V11" i="2" s="1"/>
  <c r="T81" i="2" l="1"/>
  <c r="T82" i="2"/>
  <c r="T84" i="2" s="1"/>
  <c r="T86" i="2" s="1"/>
  <c r="T90" i="2" s="1"/>
  <c r="U14" i="2"/>
  <c r="U15" i="2" s="1"/>
  <c r="U72" i="2" s="1"/>
  <c r="U80" i="2" s="1"/>
  <c r="V6" i="2"/>
  <c r="X5" i="2"/>
  <c r="W7" i="2"/>
  <c r="W11" i="2" s="1"/>
  <c r="U81" i="2" l="1"/>
  <c r="U82" i="2"/>
  <c r="U84" i="2" s="1"/>
  <c r="U86" i="2" s="1"/>
  <c r="U90" i="2" s="1"/>
  <c r="U16" i="2"/>
  <c r="U22" i="2"/>
  <c r="V12" i="2"/>
  <c r="V13" i="2" s="1"/>
  <c r="W6" i="2"/>
  <c r="Y5" i="2"/>
  <c r="X7" i="2"/>
  <c r="X11" i="2" s="1"/>
  <c r="V14" i="2" l="1"/>
  <c r="V15" i="2" s="1"/>
  <c r="V72" i="2" s="1"/>
  <c r="V80" i="2" s="1"/>
  <c r="X6" i="2"/>
  <c r="Z5" i="2"/>
  <c r="Y7" i="2"/>
  <c r="Y11" i="2" s="1"/>
  <c r="V82" i="2" l="1"/>
  <c r="V81" i="2"/>
  <c r="V16" i="2"/>
  <c r="V22" i="2"/>
  <c r="W12" i="2"/>
  <c r="W13" i="2" s="1"/>
  <c r="Y6" i="2"/>
  <c r="AA5" i="2"/>
  <c r="Z7" i="2"/>
  <c r="Z11" i="2" s="1"/>
  <c r="W14" i="2" l="1"/>
  <c r="W15" i="2" s="1"/>
  <c r="W72" i="2" s="1"/>
  <c r="W80" i="2" s="1"/>
  <c r="Z6" i="2"/>
  <c r="AB5" i="2"/>
  <c r="AA7" i="2"/>
  <c r="AA11" i="2" s="1"/>
  <c r="W81" i="2" l="1"/>
  <c r="W82" i="2"/>
  <c r="W16" i="2"/>
  <c r="W22" i="2"/>
  <c r="X12" i="2"/>
  <c r="X13" i="2" s="1"/>
  <c r="AA6" i="2"/>
  <c r="AC5" i="2"/>
  <c r="AB7" i="2"/>
  <c r="AB11" i="2" s="1"/>
  <c r="X14" i="2" l="1"/>
  <c r="X15" i="2" s="1"/>
  <c r="X72" i="2" s="1"/>
  <c r="X80" i="2" s="1"/>
  <c r="AB6" i="2"/>
  <c r="AD5" i="2"/>
  <c r="AC7" i="2"/>
  <c r="AC11" i="2" s="1"/>
  <c r="X81" i="2" l="1"/>
  <c r="X82" i="2"/>
  <c r="X16" i="2"/>
  <c r="X22" i="2"/>
  <c r="Y12" i="2"/>
  <c r="Y13" i="2" s="1"/>
  <c r="AC6" i="2"/>
  <c r="AD7" i="2"/>
  <c r="AD11" i="2" s="1"/>
  <c r="Y14" i="2" l="1"/>
  <c r="Y15" i="2" s="1"/>
  <c r="Y72" i="2" s="1"/>
  <c r="Y80" i="2" s="1"/>
  <c r="AD6" i="2"/>
  <c r="Y81" i="2" l="1"/>
  <c r="Y82" i="2"/>
  <c r="Y16" i="2"/>
  <c r="Y22" i="2"/>
  <c r="Z12" i="2" s="1"/>
  <c r="Z13" i="2" s="1"/>
  <c r="Z14" i="2" l="1"/>
  <c r="Z15" i="2" s="1"/>
  <c r="Z72" i="2" s="1"/>
  <c r="Z80" i="2" s="1"/>
  <c r="Z82" i="2" l="1"/>
  <c r="Z81" i="2"/>
  <c r="Z16" i="2"/>
  <c r="Z22" i="2"/>
  <c r="AA12" i="2" s="1"/>
  <c r="AA13" i="2" s="1"/>
  <c r="AA14" i="2" l="1"/>
  <c r="AA15" i="2" s="1"/>
  <c r="AA72" i="2" s="1"/>
  <c r="AA80" i="2" s="1"/>
  <c r="AA82" i="2" l="1"/>
  <c r="AA81" i="2"/>
  <c r="AA16" i="2"/>
  <c r="AA22" i="2"/>
  <c r="AB12" i="2"/>
  <c r="AB13" i="2" s="1"/>
  <c r="AB14" i="2" l="1"/>
  <c r="AB15" i="2" s="1"/>
  <c r="AB72" i="2" s="1"/>
  <c r="AB80" i="2" s="1"/>
  <c r="AB81" i="2" l="1"/>
  <c r="AB82" i="2"/>
  <c r="AB16" i="2"/>
  <c r="AB22" i="2"/>
  <c r="AC12" i="2"/>
  <c r="AC13" i="2" s="1"/>
  <c r="AC14" i="2" l="1"/>
  <c r="AC15" i="2" s="1"/>
  <c r="AC72" i="2" s="1"/>
  <c r="AC80" i="2" s="1"/>
  <c r="AC82" i="2" l="1"/>
  <c r="AC81" i="2"/>
  <c r="AC16" i="2"/>
  <c r="AC22" i="2"/>
  <c r="AD12" i="2"/>
  <c r="AD13" i="2" s="1"/>
  <c r="AD14" i="2" l="1"/>
  <c r="AD15" i="2" s="1"/>
  <c r="AD72" i="2" s="1"/>
  <c r="AD80" i="2" s="1"/>
  <c r="AD81" i="2" l="1"/>
  <c r="AE81" i="2" s="1"/>
  <c r="AF81" i="2" s="1"/>
  <c r="AG81" i="2" s="1"/>
  <c r="AH81" i="2" s="1"/>
  <c r="AI81" i="2" s="1"/>
  <c r="AJ81" i="2" s="1"/>
  <c r="AK81" i="2" s="1"/>
  <c r="AL81" i="2" s="1"/>
  <c r="AM81" i="2" s="1"/>
  <c r="AN81" i="2" s="1"/>
  <c r="AO81" i="2" s="1"/>
  <c r="AP81" i="2" s="1"/>
  <c r="AQ81" i="2" s="1"/>
  <c r="AR81" i="2" s="1"/>
  <c r="AS81" i="2" s="1"/>
  <c r="AT81" i="2" s="1"/>
  <c r="AU81" i="2" s="1"/>
  <c r="AV81" i="2" s="1"/>
  <c r="AW81" i="2" s="1"/>
  <c r="AX81" i="2" s="1"/>
  <c r="AY81" i="2" s="1"/>
  <c r="AZ81" i="2" s="1"/>
  <c r="BA81" i="2" s="1"/>
  <c r="BB81" i="2" s="1"/>
  <c r="BC81" i="2" s="1"/>
  <c r="BD81" i="2" s="1"/>
  <c r="BE81" i="2" s="1"/>
  <c r="BF81" i="2" s="1"/>
  <c r="BG81" i="2" s="1"/>
  <c r="BH81" i="2" s="1"/>
  <c r="BI81" i="2" s="1"/>
  <c r="BJ81" i="2" s="1"/>
  <c r="BK81" i="2" s="1"/>
  <c r="BL81" i="2" s="1"/>
  <c r="BM81" i="2" s="1"/>
  <c r="BN81" i="2" s="1"/>
  <c r="BO81" i="2" s="1"/>
  <c r="BP81" i="2" s="1"/>
  <c r="BQ81" i="2" s="1"/>
  <c r="BR81" i="2" s="1"/>
  <c r="BS81" i="2" s="1"/>
  <c r="BT81" i="2" s="1"/>
  <c r="BU81" i="2" s="1"/>
  <c r="BV81" i="2" s="1"/>
  <c r="BW81" i="2" s="1"/>
  <c r="BX81" i="2" s="1"/>
  <c r="BY81" i="2" s="1"/>
  <c r="BZ81" i="2" s="1"/>
  <c r="CA81" i="2" s="1"/>
  <c r="AD82" i="2"/>
  <c r="AD16" i="2"/>
  <c r="AD22" i="2"/>
  <c r="AE82" i="2" l="1"/>
  <c r="AF82" i="2" s="1"/>
  <c r="AG82" i="2" s="1"/>
  <c r="AH82" i="2" s="1"/>
  <c r="AI82" i="2" s="1"/>
  <c r="AJ82" i="2" s="1"/>
  <c r="AK82" i="2" s="1"/>
  <c r="AL82" i="2" s="1"/>
  <c r="AM82" i="2" s="1"/>
  <c r="AN82" i="2" s="1"/>
  <c r="AO82" i="2" s="1"/>
  <c r="AP82" i="2" s="1"/>
  <c r="AQ82" i="2" s="1"/>
  <c r="AR82" i="2" s="1"/>
  <c r="AS82" i="2" s="1"/>
  <c r="AT82" i="2" s="1"/>
  <c r="AU82" i="2" s="1"/>
  <c r="AV82" i="2" s="1"/>
  <c r="AW82" i="2" s="1"/>
  <c r="AX82" i="2" s="1"/>
  <c r="AY82" i="2" s="1"/>
  <c r="AZ82" i="2" s="1"/>
  <c r="BA82" i="2" s="1"/>
  <c r="BB82" i="2" s="1"/>
  <c r="BC82" i="2" s="1"/>
  <c r="BD82" i="2" s="1"/>
  <c r="BE82" i="2" s="1"/>
  <c r="BF82" i="2" s="1"/>
  <c r="BG82" i="2" s="1"/>
  <c r="BH82" i="2" s="1"/>
  <c r="BI82" i="2" s="1"/>
  <c r="BJ82" i="2" s="1"/>
  <c r="BK82" i="2" s="1"/>
  <c r="BL82" i="2" s="1"/>
  <c r="BM82" i="2" s="1"/>
  <c r="BN82" i="2" s="1"/>
  <c r="BO82" i="2" s="1"/>
  <c r="BP82" i="2" s="1"/>
  <c r="BQ82" i="2" s="1"/>
  <c r="BR82" i="2" s="1"/>
  <c r="BS82" i="2" s="1"/>
  <c r="BT82" i="2" s="1"/>
  <c r="BU82" i="2" s="1"/>
  <c r="BV82" i="2" s="1"/>
  <c r="BW82" i="2" s="1"/>
  <c r="BX82" i="2" s="1"/>
  <c r="BY82" i="2" s="1"/>
  <c r="BZ82" i="2" s="1"/>
  <c r="CA82" i="2" s="1"/>
  <c r="U87" i="2"/>
  <c r="V87" i="2" l="1"/>
  <c r="V83" i="2"/>
  <c r="V84" i="2" s="1"/>
  <c r="V86" i="2" s="1"/>
  <c r="V90" i="2" s="1"/>
  <c r="W87" i="2" l="1"/>
  <c r="W83" i="2"/>
  <c r="W84" i="2" s="1"/>
  <c r="W86" i="2" s="1"/>
  <c r="W90" i="2" s="1"/>
  <c r="X87" i="2" l="1"/>
  <c r="X83" i="2"/>
  <c r="X84" i="2" s="1"/>
  <c r="X86" i="2" s="1"/>
  <c r="X90" i="2" s="1"/>
  <c r="Y87" i="2" l="1"/>
  <c r="Y83" i="2"/>
  <c r="Y84" i="2" s="1"/>
  <c r="Y86" i="2" s="1"/>
  <c r="Y90" i="2" s="1"/>
  <c r="Z87" i="2" l="1"/>
  <c r="Z83" i="2"/>
  <c r="Z84" i="2" s="1"/>
  <c r="Z86" i="2" s="1"/>
  <c r="Z90" i="2" s="1"/>
  <c r="AA87" i="2" l="1"/>
  <c r="AA83" i="2"/>
  <c r="AA84" i="2" s="1"/>
  <c r="AA86" i="2" s="1"/>
  <c r="AA90" i="2" s="1"/>
  <c r="AB87" i="2" l="1"/>
  <c r="AB83" i="2"/>
  <c r="AB84" i="2" s="1"/>
  <c r="AB86" i="2" s="1"/>
  <c r="AB90" i="2" s="1"/>
  <c r="AC87" i="2" l="1"/>
  <c r="AC83" i="2"/>
  <c r="AC84" i="2" s="1"/>
  <c r="AC86" i="2" s="1"/>
  <c r="AC90" i="2" s="1"/>
  <c r="AD87" i="2" l="1"/>
  <c r="AD83" i="2"/>
  <c r="AD84" i="2" s="1"/>
  <c r="AD86" i="2" s="1"/>
  <c r="AD90" i="2" s="1"/>
</calcChain>
</file>

<file path=xl/sharedStrings.xml><?xml version="1.0" encoding="utf-8"?>
<sst xmlns="http://schemas.openxmlformats.org/spreadsheetml/2006/main" count="119" uniqueCount="102">
  <si>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</si>
  <si>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</si>
  <si>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</si>
  <si>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</si>
  <si>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</si>
  <si>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</si>
  <si>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</si>
  <si>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</si>
  <si>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</si>
  <si>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</si>
  <si>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</si>
  <si>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Q123</t>
  </si>
  <si>
    <t>Q223</t>
  </si>
  <si>
    <t>Q324</t>
  </si>
  <si>
    <t>Q424</t>
  </si>
  <si>
    <t>OpInc</t>
  </si>
  <si>
    <t>OpEx</t>
  </si>
  <si>
    <t>SG&amp;A</t>
  </si>
  <si>
    <t>R&amp;D</t>
  </si>
  <si>
    <t>Gross Profit</t>
  </si>
  <si>
    <t>COGS</t>
  </si>
  <si>
    <t>License</t>
  </si>
  <si>
    <t>Equipment</t>
  </si>
  <si>
    <t>Interest</t>
  </si>
  <si>
    <t>Pretax</t>
  </si>
  <si>
    <t>Taxes</t>
  </si>
  <si>
    <t>Net Income</t>
  </si>
  <si>
    <t>EPS</t>
  </si>
  <si>
    <t>AR</t>
  </si>
  <si>
    <t>Inventories</t>
  </si>
  <si>
    <t>OCA</t>
  </si>
  <si>
    <t>PP&amp;E</t>
  </si>
  <si>
    <t>Goodwill</t>
  </si>
  <si>
    <t>OA</t>
  </si>
  <si>
    <t>DTA</t>
  </si>
  <si>
    <t>Assets</t>
  </si>
  <si>
    <t>AP</t>
  </si>
  <si>
    <t>Payroll</t>
  </si>
  <si>
    <t>DR</t>
  </si>
  <si>
    <t>OCL</t>
  </si>
  <si>
    <t>OL</t>
  </si>
  <si>
    <t>SE</t>
  </si>
  <si>
    <t>L+SE</t>
  </si>
  <si>
    <t>Revenue y/y</t>
  </si>
  <si>
    <t>Held</t>
  </si>
  <si>
    <t>Model NI</t>
  </si>
  <si>
    <t>Reported NI</t>
  </si>
  <si>
    <t>CapEx</t>
  </si>
  <si>
    <t>D&amp;A</t>
  </si>
  <si>
    <t>SBC</t>
  </si>
  <si>
    <t>Gains</t>
  </si>
  <si>
    <t>Other</t>
  </si>
  <si>
    <t>WC</t>
  </si>
  <si>
    <t>CFFO</t>
  </si>
  <si>
    <t>Investments</t>
  </si>
  <si>
    <t>Acquisitions</t>
  </si>
  <si>
    <t>Divestitures</t>
  </si>
  <si>
    <t>CFFI</t>
  </si>
  <si>
    <t>ESOP</t>
  </si>
  <si>
    <t>Dividends</t>
  </si>
  <si>
    <t>Buybacks</t>
  </si>
  <si>
    <t>CIC</t>
  </si>
  <si>
    <t>FX</t>
  </si>
  <si>
    <t>CFFF</t>
  </si>
  <si>
    <t>Impairment</t>
  </si>
  <si>
    <t>FY2023</t>
  </si>
  <si>
    <t>FY2024</t>
  </si>
  <si>
    <t>Gross Margin</t>
  </si>
  <si>
    <t>FY2022</t>
  </si>
  <si>
    <t>Intel NI</t>
  </si>
  <si>
    <t>Intel FCF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</si>
  <si>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</si>
  <si>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</si>
  <si>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</si>
  <si>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</si>
  <si>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</si>
  <si>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</si>
  <si>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</si>
  <si>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</si>
  <si>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</si>
  <si>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FY2034</t>
  </si>
  <si>
    <t>FY2035</t>
  </si>
  <si>
    <t>QCOM FCF</t>
  </si>
  <si>
    <t>NewCo</t>
  </si>
  <si>
    <t>Net Cash</t>
  </si>
  <si>
    <t>ROI</t>
  </si>
  <si>
    <t>Terminal</t>
  </si>
  <si>
    <t>Low Synergies</t>
  </si>
  <si>
    <t>High Synergies</t>
  </si>
  <si>
    <t>Interest Expense</t>
  </si>
  <si>
    <t>QCOM GOALONE</t>
  </si>
  <si>
    <t>QCOM MERGE</t>
  </si>
  <si>
    <t>Founded 1985</t>
  </si>
  <si>
    <t>HQ San Diego</t>
  </si>
  <si>
    <t>CEO: Cristiano Amon</t>
  </si>
  <si>
    <t>Apple modem supply extended; diversification beyond Apple still a focus.</t>
  </si>
  <si>
    <t>Snapdragon platform = phones → PCs, XR, auto, IoT.</t>
  </si>
  <si>
    <t>Licensing moat (QTL): deep 3G/4G/5G SEP portfolio; handset makers pay to ship.</t>
  </si>
  <si>
    <t>RF Front-End share rising with 5G complexity (antenna-to-modem stack).</t>
  </si>
  <si>
    <t>On-device AI push: NPUs in Snapdragon enabling edge inference.</t>
  </si>
  <si>
    <t>Automotive design-wins (digital cockpit/ADAS) = long, sticky revenue tails.</t>
  </si>
  <si>
    <t>PC pivot underway (Arm-based Snapdragon) to extend beyond handsets.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</si>
</sst>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9" fontId="0" fillId="0" borderId="0" xfId="0" applyNumberFormat="1"/>
    <xf numFmtId="4" fontId="1" fillId="0" borderId="0" xfId="0" applyNumberFormat="1" applyFont="1" applyAlignment="1">
      <alignment horizontal="right"/>
    </xf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B80F3D2-7923-46E3-96A1-B7DC00A8222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Model!$T$2:$AD$2</c:f>
              <c:strCache>
                <c:ptCount val="11"/>
                <c:pt idx="0">
                  <c:v>FY2025</c:v>
                </c:pt>
                <c:pt idx="1">
                  <c:v>FY2026</c:v>
                </c:pt>
                <c:pt idx="2">
                  <c:v>FY2027</c:v>
                </c:pt>
                <c:pt idx="3">
                  <c:v>FY2028</c:v>
                </c:pt>
                <c:pt idx="4">
                  <c:v>FY2029</c:v>
                </c:pt>
                <c:pt idx="5">
                  <c:v>FY2030</c:v>
                </c:pt>
                <c:pt idx="6">
                  <c:v>FY2031</c:v>
                </c:pt>
                <c:pt idx="7">
                  <c:v>FY2032</c:v>
                </c:pt>
                <c:pt idx="8">
                  <c:v>FY2033</c:v>
                </c:pt>
                <c:pt idx="9">
                  <c:v>FY2034</c:v>
                </c:pt>
                <c:pt idx="10">
                  <c:v>FY2035</c:v>
                </c:pt>
              </c:strCache>
            </c:strRef>
          </c:cat>
          <c:val>
            <c:numRef>
              <c:f>Model!$T$89:$AD$89</c:f>
              <c:numCache>
                <c:formatCode>#,##0.00</c:formatCode>
                <c:ptCount val="11"/>
                <c:pt idx="0">
                  <c:v>8.1638648044198927</c:v>
                </c:pt>
                <c:pt idx="1">
                  <c:v>9.1786966563977899</c:v>
                </c:pt>
                <c:pt idx="2">
                  <c:v>10.27527240586376</c:v>
                </c:pt>
                <c:pt idx="3">
                  <c:v>11.459101248927777</c:v>
                </c:pt>
                <c:pt idx="4">
                  <c:v>12.736030364623396</c:v>
                </c:pt>
                <c:pt idx="5">
                  <c:v>14.112264513047734</c:v>
                </c:pt>
                <c:pt idx="6">
                  <c:v>15.594386728950973</c:v>
                </c:pt>
                <c:pt idx="7">
                  <c:v>17.18938017047499</c:v>
                </c:pt>
                <c:pt idx="8">
                  <c:v>18.904651185935716</c:v>
                </c:pt>
                <c:pt idx="9">
                  <c:v>20.748053664906951</c:v>
                </c:pt>
                <c:pt idx="10">
                  <c:v>22.727914743404419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E-4FEC-B989-9320323161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Model!$T$2:$AD$2</c:f>
              <c:strCache>
                <c:ptCount val="11"/>
                <c:pt idx="0">
                  <c:v>FY2025</c:v>
                </c:pt>
                <c:pt idx="1">
                  <c:v>FY2026</c:v>
                </c:pt>
                <c:pt idx="2">
                  <c:v>FY2027</c:v>
                </c:pt>
                <c:pt idx="3">
                  <c:v>FY2028</c:v>
                </c:pt>
                <c:pt idx="4">
                  <c:v>FY2029</c:v>
                </c:pt>
                <c:pt idx="5">
                  <c:v>FY2030</c:v>
                </c:pt>
                <c:pt idx="6">
                  <c:v>FY2031</c:v>
                </c:pt>
                <c:pt idx="7">
                  <c:v>FY2032</c:v>
                </c:pt>
                <c:pt idx="8">
                  <c:v>FY2033</c:v>
                </c:pt>
                <c:pt idx="9">
                  <c:v>FY2034</c:v>
                </c:pt>
                <c:pt idx="10">
                  <c:v>FY2035</c:v>
                </c:pt>
              </c:strCache>
            </c:strRef>
          </c:cat>
          <c:val>
            <c:numRef>
              <c:f>Model!$T$90:$AD$90</c:f>
              <c:numCache>
                <c:formatCode>#,##0.00</c:formatCode>
                <c:ptCount val="11"/>
                <c:pt idx="0">
                  <c:v>3.2550352213393889</c:v>
                </c:pt>
                <c:pt idx="1">
                  <c:v>6.6889901206299678</c:v>
                </c:pt>
                <c:pt idx="2">
                  <c:v>11.199581126382734</c:v>
                </c:pt>
                <c:pt idx="3">
                  <c:v>7.6902965028096197</c:v>
                </c:pt>
                <c:pt idx="4">
                  <c:v>10.256875707918384</c:v>
                </c:pt>
                <c:pt idx="5">
                  <c:v>11.871814948215686</c:v>
                </c:pt>
                <c:pt idx="6">
                  <c:v>13.610159278842049</c:v>
                </c:pt>
                <c:pt idx="7">
                  <c:v>15.480495118769175</c:v>
                </c:pt>
                <c:pt idx="8">
                  <c:v>17.491949829047797</c:v>
                </c:pt>
                <c:pt idx="9">
                  <c:v>19.654223651195128</c:v>
                </c:pt>
                <c:pt idx="10">
                  <c:v>21.977623453015923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E-4FEC-B989-93203231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147407"/>
        <c:axId val="271150287"/>
      </c:lineChart>
      <c:catAx>
        <c:axId val="27114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50287"/>
        <c:crosses val="autoZero"/>
        <c:auto val="1"/>
        <c:lblAlgn val="ctr"/>
        <c:lblOffset val="100"/>
        <c:noMultiLvlLbl val="0"/>
      </c:catAx>
      <c:valAx>
        <c:axId val="2711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4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37170</xdr:colOff>
      <xdr:row>0</xdr:row>
      <xdr:rowOff>37171</xdr:rowOff>
    </xdr:from>
    <xdr:to>
      <xdr:col>18</xdr:col>
      <xdr:colOff>37170</xdr:colOff>
      <xdr:row>91</xdr:row>
      <xdr:rowOff>144036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463B143-E599-F7C9-C441-FE4B66092861}"/>
            </a:ext>
          </a:extLst>
        </xdr:cNvPr>
        <xdr:cNvCxnSpPr/>
      </xdr:nvCxnSpPr>
      <xdr:spPr>
        <a:xfrm>
          <a:off x="11160511" y="37171"/>
          <a:ext cx="0" cy="1474284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26949</xdr:colOff>
      <xdr:row>0</xdr:row>
      <xdr:rowOff>0</xdr:rowOff>
    </xdr:from>
    <xdr:to>
      <xdr:col>12</xdr:col>
      <xdr:colOff>26949</xdr:colOff>
      <xdr:row>88</xdr:row>
      <xdr:rowOff>92927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407705D-B87D-4887-831E-D9A3C6B96971}"/>
            </a:ext>
          </a:extLst>
        </xdr:cNvPr>
        <xdr:cNvCxnSpPr/>
      </xdr:nvCxnSpPr>
      <xdr:spPr>
        <a:xfrm>
          <a:off x="7173022" y="0"/>
          <a:ext cx="0" cy="140784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146553</xdr:colOff>
      <xdr:row>51</xdr:row>
      <xdr:rowOff>100691</xdr:rowOff>
    </xdr:from>
    <xdr:to>
      <xdr:col>27</xdr:col>
      <xdr:colOff>468613</xdr:colOff>
      <xdr:row>68</xdr:row>
      <xdr:rowOff>111407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2438590-8FB8-1D8A-C659-2EB29B0F1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689E-0C44-460A-803B-7A419B6A4A56}">
  <dimension ref="B2:M11"/>
  <sheetViews>
    <sheetView tabSelected="1" zoomScaleNormal="100" workbookViewId="0">
      <selection activeCell="M7" sqref="M7"/>
    </sheetView>
  </sheetViews>
  <sheetFormatPr defaultRowHeight="12.75" x14ac:dyDescent="0.2"/>
  <sheetData>
    <row r="2" spans="2:13" x14ac:dyDescent="0.2">
      <c r="K2" t="s">
        <v>0</v>
      </c>
      <c r="L2" s="1">
        <v>169.05</v>
      </c>
    </row>
    <row r="3" spans="2:13" x14ac:dyDescent="0.2">
      <c r="K3" t="s">
        <v>1</v>
      </c>
      <c r="L3" s="2">
        <v>1114</v>
      </c>
      <c r="M3" s="3" t="s">
        <v>6</v>
      </c>
    </row>
    <row r="4" spans="2:13" x14ac:dyDescent="0.2">
      <c r="B4" s="13" t="s">
        <v>96</v>
      </c>
      <c r="K4" t="s">
        <v>2</v>
      </c>
      <c r="L4" s="2">
        <f>+L2*L3</f>
        <v>188321.7</v>
      </c>
    </row>
    <row r="5" spans="2:13" x14ac:dyDescent="0.2">
      <c r="B5" s="13" t="s">
        <v>97</v>
      </c>
      <c r="K5" t="s">
        <v>3</v>
      </c>
      <c r="L5" s="2">
        <f>7770+5262</f>
        <v>13032</v>
      </c>
      <c r="M5" s="3" t="s">
        <v>6</v>
      </c>
    </row>
    <row r="6" spans="2:13" x14ac:dyDescent="0.2">
      <c r="B6" s="13" t="s">
        <v>98</v>
      </c>
      <c r="K6" t="s">
        <v>4</v>
      </c>
      <c r="L6" s="2">
        <f>1364+13190</f>
        <v>14554</v>
      </c>
      <c r="M6" s="3" t="s">
        <v>6</v>
      </c>
    </row>
    <row r="7" spans="2:13" x14ac:dyDescent="0.2">
      <c r="B7" s="13" t="s">
        <v>99</v>
      </c>
      <c r="K7" t="s">
        <v>5</v>
      </c>
      <c r="L7" s="2">
        <f>+L4-L5+L6</f>
        <v>189843.7</v>
      </c>
    </row>
    <row r="8" spans="2:13" x14ac:dyDescent="0.2">
      <c r="B8" s="13" t="s">
        <v>100</v>
      </c>
    </row>
    <row r="9" spans="2:13" x14ac:dyDescent="0.2">
      <c r="B9" s="13" t="s">
        <v>101</v>
      </c>
      <c r="K9" s="13" t="s">
        <v>92</v>
      </c>
    </row>
    <row r="10" spans="2:13" x14ac:dyDescent="0.2">
      <c r="B10" s="13" t="s">
        <v>95</v>
      </c>
      <c r="K10" s="13" t="s">
        <v>94</v>
      </c>
    </row>
    <row r="11" spans="2:13" x14ac:dyDescent="0.2">
      <c r="K11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1CE3-DA72-40B4-9394-C59D0743B1D8}">
  <dimension ref="A1:CA90"/>
  <sheetViews>
    <sheetView zoomScale="80" zoomScaleNormal="80" workbookViewId="0">
      <pane xSplit="2" ySplit="2" topLeftCell="P45" activePane="bottomRight" state="frozen"/>
      <selection pane="topRight" activeCell="C1" sqref="C1"/>
      <selection pane="bottomLeft" activeCell="A3" sqref="A3"/>
      <selection pane="bottomRight" activeCell="AD34" sqref="AD34"/>
    </sheetView>
  </sheetViews>
  <sheetFormatPr defaultRowHeight="12.75" x14ac:dyDescent="0.2"/>
  <cols>
    <col min="1" max="1" width="5" bestFit="1" customWidth="1"/>
    <col min="2" max="2" width="15.7109375" customWidth="1"/>
    <col min="3" max="4" width="5.5703125" style="3" bestFit="1" customWidth="1"/>
    <col min="5" max="5" width="10.7109375" style="3" bestFit="1" customWidth="1"/>
    <col min="6" max="6" width="10.5703125" style="3" bestFit="1" customWidth="1"/>
    <col min="7" max="8" width="5.5703125" style="3" bestFit="1" customWidth="1"/>
    <col min="9" max="12" width="10.5703125" style="3" bestFit="1" customWidth="1"/>
    <col min="13" max="13" width="7.5703125" style="3" bestFit="1" customWidth="1"/>
    <col min="14" max="14" width="5.5703125" style="3" bestFit="1" customWidth="1"/>
    <col min="17" max="19" width="7.5703125" style="3" bestFit="1" customWidth="1"/>
    <col min="20" max="28" width="7.5703125" bestFit="1" customWidth="1"/>
    <col min="29" max="30" width="8.42578125" customWidth="1"/>
  </cols>
  <sheetData>
    <row r="1" spans="1:30" x14ac:dyDescent="0.2">
      <c r="A1" t="s">
        <v>7</v>
      </c>
      <c r="I1" s="3" t="s">
        <v>65</v>
      </c>
      <c r="M1" s="3" t="s">
        <v>66</v>
      </c>
    </row>
    <row r="2" spans="1:30" s="12" customFormat="1" x14ac:dyDescent="0.2">
      <c r="C2" s="9" t="s">
        <v>9</v>
      </c>
      <c r="D2" s="9" t="s">
        <v>10</v>
      </c>
      <c r="E2" s="9">
        <v>44834</v>
      </c>
      <c r="F2" s="9">
        <v>44926</v>
      </c>
      <c r="G2" s="9" t="s">
        <v>11</v>
      </c>
      <c r="H2" s="9" t="s">
        <v>12</v>
      </c>
      <c r="I2" s="9">
        <v>45199</v>
      </c>
      <c r="J2" s="9">
        <v>45291</v>
      </c>
      <c r="K2" s="9">
        <v>45382</v>
      </c>
      <c r="L2" s="9">
        <v>45473</v>
      </c>
      <c r="M2" s="9" t="s">
        <v>13</v>
      </c>
      <c r="N2" s="9" t="s">
        <v>14</v>
      </c>
      <c r="Q2" s="9" t="s">
        <v>68</v>
      </c>
      <c r="R2" s="9" t="s">
        <v>65</v>
      </c>
      <c r="S2" s="9" t="s">
        <v>66</v>
      </c>
      <c r="T2" s="9" t="s">
        <v>71</v>
      </c>
      <c r="U2" s="9" t="s">
        <v>72</v>
      </c>
      <c r="V2" s="9" t="s">
        <v>73</v>
      </c>
      <c r="W2" s="9" t="s">
        <v>74</v>
      </c>
      <c r="X2" s="9" t="s">
        <v>75</v>
      </c>
      <c r="Y2" s="9" t="s">
        <v>76</v>
      </c>
      <c r="Z2" s="9" t="s">
        <v>77</v>
      </c>
      <c r="AA2" s="9" t="s">
        <v>78</v>
      </c>
      <c r="AB2" s="9" t="s">
        <v>79</v>
      </c>
      <c r="AC2" s="9" t="s">
        <v>80</v>
      </c>
      <c r="AD2" s="9" t="s">
        <v>81</v>
      </c>
    </row>
    <row r="3" spans="1:30" s="2" customFormat="1" x14ac:dyDescent="0.2">
      <c r="B3" s="2" t="s">
        <v>22</v>
      </c>
      <c r="C3" s="4"/>
      <c r="D3" s="4"/>
      <c r="E3" s="4">
        <v>9807</v>
      </c>
      <c r="F3" s="4">
        <v>7784</v>
      </c>
      <c r="G3" s="4">
        <v>7846</v>
      </c>
      <c r="H3" s="4">
        <v>7108</v>
      </c>
      <c r="I3" s="4">
        <v>7290</v>
      </c>
      <c r="J3" s="4">
        <v>8316</v>
      </c>
      <c r="K3" s="4">
        <v>7950</v>
      </c>
      <c r="L3" s="4">
        <v>7993</v>
      </c>
      <c r="M3" s="4"/>
      <c r="N3" s="4"/>
      <c r="Q3" s="4"/>
      <c r="R3" s="4"/>
      <c r="S3" s="4"/>
    </row>
    <row r="4" spans="1:30" s="2" customFormat="1" x14ac:dyDescent="0.2">
      <c r="B4" s="2" t="s">
        <v>21</v>
      </c>
      <c r="C4" s="4"/>
      <c r="D4" s="4"/>
      <c r="E4" s="4">
        <v>1589</v>
      </c>
      <c r="F4" s="4">
        <v>1679</v>
      </c>
      <c r="G4" s="4">
        <v>1429</v>
      </c>
      <c r="H4" s="4">
        <v>1343</v>
      </c>
      <c r="I4" s="4">
        <v>1341</v>
      </c>
      <c r="J4" s="4">
        <v>1619</v>
      </c>
      <c r="K4" s="4">
        <v>1439</v>
      </c>
      <c r="L4" s="4">
        <v>1400</v>
      </c>
      <c r="M4" s="4"/>
      <c r="N4" s="4"/>
      <c r="Q4" s="4"/>
      <c r="R4" s="4"/>
      <c r="S4" s="4"/>
    </row>
    <row r="5" spans="1:30" s="5" customFormat="1" x14ac:dyDescent="0.2">
      <c r="B5" s="5" t="s">
        <v>8</v>
      </c>
      <c r="C5" s="6"/>
      <c r="D5" s="6"/>
      <c r="E5" s="6">
        <f t="shared" ref="E5:L5" si="0">+E3+E4</f>
        <v>11396</v>
      </c>
      <c r="F5" s="6">
        <f t="shared" si="0"/>
        <v>9463</v>
      </c>
      <c r="G5" s="6">
        <f t="shared" si="0"/>
        <v>9275</v>
      </c>
      <c r="H5" s="6">
        <f t="shared" si="0"/>
        <v>8451</v>
      </c>
      <c r="I5" s="6">
        <f t="shared" si="0"/>
        <v>8631</v>
      </c>
      <c r="J5" s="6">
        <f t="shared" si="0"/>
        <v>9935</v>
      </c>
      <c r="K5" s="6">
        <f t="shared" si="0"/>
        <v>9389</v>
      </c>
      <c r="L5" s="6">
        <f t="shared" si="0"/>
        <v>9393</v>
      </c>
      <c r="M5" s="6">
        <f>+L5</f>
        <v>9393</v>
      </c>
      <c r="N5" s="6"/>
      <c r="Q5" s="6"/>
      <c r="R5" s="6">
        <f>SUM(F5:I5)</f>
        <v>35820</v>
      </c>
      <c r="S5" s="6">
        <f>SUM(J5:M5)</f>
        <v>38110</v>
      </c>
      <c r="T5" s="5">
        <f>+S5*1.05</f>
        <v>40015.5</v>
      </c>
      <c r="U5" s="5">
        <f t="shared" ref="U5:AD5" si="1">+T5*1.05</f>
        <v>42016.275000000001</v>
      </c>
      <c r="V5" s="5">
        <f t="shared" si="1"/>
        <v>44117.088750000003</v>
      </c>
      <c r="W5" s="5">
        <f t="shared" si="1"/>
        <v>46322.943187500008</v>
      </c>
      <c r="X5" s="5">
        <f t="shared" si="1"/>
        <v>48639.090346875011</v>
      </c>
      <c r="Y5" s="5">
        <f t="shared" si="1"/>
        <v>51071.044864218762</v>
      </c>
      <c r="Z5" s="5">
        <f t="shared" si="1"/>
        <v>53624.597107429705</v>
      </c>
      <c r="AA5" s="5">
        <f t="shared" si="1"/>
        <v>56305.826962801191</v>
      </c>
      <c r="AB5" s="5">
        <f t="shared" si="1"/>
        <v>59121.118310941252</v>
      </c>
      <c r="AC5" s="5">
        <f t="shared" si="1"/>
        <v>62077.174226488314</v>
      </c>
      <c r="AD5" s="5">
        <f t="shared" si="1"/>
        <v>65181.032937812735</v>
      </c>
    </row>
    <row r="6" spans="1:30" s="2" customFormat="1" x14ac:dyDescent="0.2">
      <c r="B6" s="2" t="s">
        <v>20</v>
      </c>
      <c r="C6" s="4"/>
      <c r="D6" s="4"/>
      <c r="E6" s="4">
        <v>4868</v>
      </c>
      <c r="F6" s="4">
        <v>4044</v>
      </c>
      <c r="G6" s="4">
        <v>4153</v>
      </c>
      <c r="H6" s="4">
        <v>3792</v>
      </c>
      <c r="I6" s="4">
        <v>3880</v>
      </c>
      <c r="J6" s="4">
        <v>4312</v>
      </c>
      <c r="K6" s="4">
        <v>4106</v>
      </c>
      <c r="L6" s="4">
        <v>4174</v>
      </c>
      <c r="M6" s="4">
        <v>4174</v>
      </c>
      <c r="N6" s="4"/>
      <c r="Q6" s="4"/>
      <c r="R6" s="4">
        <f>SUM(F6:I6)</f>
        <v>15869</v>
      </c>
      <c r="S6" s="4">
        <f>SUM(J6:M6)</f>
        <v>16766</v>
      </c>
      <c r="T6" s="2">
        <f>+T5-T7</f>
        <v>17606.819999999996</v>
      </c>
      <c r="U6" s="2">
        <f t="shared" ref="U6:AD6" si="2">+U5-U7</f>
        <v>18487.161</v>
      </c>
      <c r="V6" s="2">
        <f t="shared" si="2"/>
        <v>19411.519049999999</v>
      </c>
      <c r="W6" s="2">
        <f t="shared" si="2"/>
        <v>20382.095002500002</v>
      </c>
      <c r="X6" s="2">
        <f t="shared" si="2"/>
        <v>21401.199752625002</v>
      </c>
      <c r="Y6" s="2">
        <f t="shared" si="2"/>
        <v>22471.259740256253</v>
      </c>
      <c r="Z6" s="2">
        <f t="shared" si="2"/>
        <v>23594.822727269067</v>
      </c>
      <c r="AA6" s="2">
        <f t="shared" si="2"/>
        <v>24774.56386363252</v>
      </c>
      <c r="AB6" s="2">
        <f t="shared" si="2"/>
        <v>26013.292056814149</v>
      </c>
      <c r="AC6" s="2">
        <f t="shared" si="2"/>
        <v>27313.956659654854</v>
      </c>
      <c r="AD6" s="2">
        <f t="shared" si="2"/>
        <v>28679.654492637601</v>
      </c>
    </row>
    <row r="7" spans="1:30" s="2" customFormat="1" x14ac:dyDescent="0.2">
      <c r="B7" s="2" t="s">
        <v>19</v>
      </c>
      <c r="C7" s="4"/>
      <c r="D7" s="4"/>
      <c r="E7" s="4">
        <f t="shared" ref="E7:L7" si="3">+E5-E6</f>
        <v>6528</v>
      </c>
      <c r="F7" s="4">
        <f t="shared" si="3"/>
        <v>5419</v>
      </c>
      <c r="G7" s="4">
        <f t="shared" si="3"/>
        <v>5122</v>
      </c>
      <c r="H7" s="4">
        <f t="shared" si="3"/>
        <v>4659</v>
      </c>
      <c r="I7" s="4">
        <f t="shared" si="3"/>
        <v>4751</v>
      </c>
      <c r="J7" s="4">
        <f t="shared" si="3"/>
        <v>5623</v>
      </c>
      <c r="K7" s="4">
        <f t="shared" si="3"/>
        <v>5283</v>
      </c>
      <c r="L7" s="4">
        <f t="shared" si="3"/>
        <v>5219</v>
      </c>
      <c r="M7" s="4">
        <f>+M5*0.56</f>
        <v>5260.0800000000008</v>
      </c>
      <c r="N7" s="4"/>
      <c r="Q7" s="4"/>
      <c r="R7" s="4">
        <f>+R5-R6</f>
        <v>19951</v>
      </c>
      <c r="S7" s="4">
        <f>+S5-S6</f>
        <v>21344</v>
      </c>
      <c r="T7" s="2">
        <f>+T5*0.56</f>
        <v>22408.680000000004</v>
      </c>
      <c r="U7" s="2">
        <f t="shared" ref="U7:AD7" si="4">+U5*0.56</f>
        <v>23529.114000000001</v>
      </c>
      <c r="V7" s="2">
        <f t="shared" si="4"/>
        <v>24705.569700000004</v>
      </c>
      <c r="W7" s="2">
        <f t="shared" si="4"/>
        <v>25940.848185000006</v>
      </c>
      <c r="X7" s="2">
        <f t="shared" si="4"/>
        <v>27237.89059425001</v>
      </c>
      <c r="Y7" s="2">
        <f t="shared" si="4"/>
        <v>28599.785123962509</v>
      </c>
      <c r="Z7" s="2">
        <f t="shared" si="4"/>
        <v>30029.774380160638</v>
      </c>
      <c r="AA7" s="2">
        <f t="shared" si="4"/>
        <v>31531.263099168671</v>
      </c>
      <c r="AB7" s="2">
        <f t="shared" si="4"/>
        <v>33107.826254127103</v>
      </c>
      <c r="AC7" s="2">
        <f t="shared" si="4"/>
        <v>34763.21756683346</v>
      </c>
      <c r="AD7" s="2">
        <f t="shared" si="4"/>
        <v>36501.378445175134</v>
      </c>
    </row>
    <row r="8" spans="1:30" s="2" customFormat="1" x14ac:dyDescent="0.2">
      <c r="B8" s="2" t="s">
        <v>18</v>
      </c>
      <c r="C8" s="4"/>
      <c r="D8" s="4"/>
      <c r="E8" s="4">
        <v>2179</v>
      </c>
      <c r="F8" s="4">
        <v>2251</v>
      </c>
      <c r="G8" s="4">
        <v>2210</v>
      </c>
      <c r="H8" s="4">
        <v>2222</v>
      </c>
      <c r="I8" s="4">
        <v>2135</v>
      </c>
      <c r="J8" s="4">
        <v>2096</v>
      </c>
      <c r="K8" s="4">
        <v>2236</v>
      </c>
      <c r="L8" s="4">
        <v>2259</v>
      </c>
      <c r="M8" s="4">
        <f>+I8</f>
        <v>2135</v>
      </c>
      <c r="N8" s="4"/>
      <c r="Q8" s="4"/>
      <c r="R8" s="4">
        <f>SUM(F8:I8)</f>
        <v>8818</v>
      </c>
      <c r="S8" s="4">
        <f>SUM(J8:M8)</f>
        <v>8726</v>
      </c>
      <c r="T8" s="2">
        <f>+S8*1.02</f>
        <v>8900.52</v>
      </c>
      <c r="U8" s="2">
        <f t="shared" ref="U8:AD8" si="5">+T8*1.02</f>
        <v>9078.5304000000015</v>
      </c>
      <c r="V8" s="2">
        <f t="shared" si="5"/>
        <v>9260.1010080000015</v>
      </c>
      <c r="W8" s="2">
        <f t="shared" si="5"/>
        <v>9445.3030281600022</v>
      </c>
      <c r="X8" s="2">
        <f t="shared" si="5"/>
        <v>9634.2090887232025</v>
      </c>
      <c r="Y8" s="2">
        <f t="shared" si="5"/>
        <v>9826.8932704976669</v>
      </c>
      <c r="Z8" s="2">
        <f t="shared" si="5"/>
        <v>10023.43113590762</v>
      </c>
      <c r="AA8" s="2">
        <f t="shared" si="5"/>
        <v>10223.899758625772</v>
      </c>
      <c r="AB8" s="2">
        <f t="shared" si="5"/>
        <v>10428.377753798288</v>
      </c>
      <c r="AC8" s="2">
        <f t="shared" si="5"/>
        <v>10636.945308874254</v>
      </c>
      <c r="AD8" s="2">
        <f t="shared" si="5"/>
        <v>10849.684215051739</v>
      </c>
    </row>
    <row r="9" spans="1:30" s="2" customFormat="1" x14ac:dyDescent="0.2">
      <c r="B9" s="2" t="s">
        <v>17</v>
      </c>
      <c r="C9" s="4"/>
      <c r="D9" s="4"/>
      <c r="E9" s="4">
        <v>683</v>
      </c>
      <c r="F9" s="4">
        <v>623</v>
      </c>
      <c r="G9" s="4">
        <v>614</v>
      </c>
      <c r="H9" s="4">
        <v>618</v>
      </c>
      <c r="I9" s="4">
        <v>628</v>
      </c>
      <c r="J9" s="4">
        <v>627</v>
      </c>
      <c r="K9" s="4">
        <v>707</v>
      </c>
      <c r="L9" s="4">
        <v>664</v>
      </c>
      <c r="M9" s="4">
        <f>+I9</f>
        <v>628</v>
      </c>
      <c r="N9" s="4"/>
      <c r="Q9" s="4"/>
      <c r="R9" s="4">
        <f>SUM(F9:I9)</f>
        <v>2483</v>
      </c>
      <c r="S9" s="4">
        <f>SUM(J9:M9)</f>
        <v>2626</v>
      </c>
      <c r="T9" s="2">
        <f t="shared" ref="T9:AD9" si="6">+S9*1.02</f>
        <v>2678.52</v>
      </c>
      <c r="U9" s="2">
        <f t="shared" si="6"/>
        <v>2732.0904</v>
      </c>
      <c r="V9" s="2">
        <f t="shared" si="6"/>
        <v>2786.7322079999999</v>
      </c>
      <c r="W9" s="2">
        <f t="shared" si="6"/>
        <v>2842.4668521600001</v>
      </c>
      <c r="X9" s="2">
        <f t="shared" si="6"/>
        <v>2899.3161892032003</v>
      </c>
      <c r="Y9" s="2">
        <f t="shared" si="6"/>
        <v>2957.3025129872644</v>
      </c>
      <c r="Z9" s="2">
        <f t="shared" si="6"/>
        <v>3016.4485632470096</v>
      </c>
      <c r="AA9" s="2">
        <f t="shared" si="6"/>
        <v>3076.7775345119499</v>
      </c>
      <c r="AB9" s="2">
        <f t="shared" si="6"/>
        <v>3138.3130852021891</v>
      </c>
      <c r="AC9" s="2">
        <f t="shared" si="6"/>
        <v>3201.0793469062328</v>
      </c>
      <c r="AD9" s="2">
        <f t="shared" si="6"/>
        <v>3265.1009338443573</v>
      </c>
    </row>
    <row r="10" spans="1:30" s="2" customFormat="1" x14ac:dyDescent="0.2">
      <c r="B10" s="2" t="s">
        <v>16</v>
      </c>
      <c r="C10" s="4"/>
      <c r="D10" s="4"/>
      <c r="E10" s="4">
        <f t="shared" ref="E10:L10" si="7">+E8+E9</f>
        <v>2862</v>
      </c>
      <c r="F10" s="4">
        <f t="shared" si="7"/>
        <v>2874</v>
      </c>
      <c r="G10" s="4">
        <f t="shared" si="7"/>
        <v>2824</v>
      </c>
      <c r="H10" s="4">
        <f t="shared" si="7"/>
        <v>2840</v>
      </c>
      <c r="I10" s="4">
        <f t="shared" si="7"/>
        <v>2763</v>
      </c>
      <c r="J10" s="4">
        <f t="shared" si="7"/>
        <v>2723</v>
      </c>
      <c r="K10" s="4">
        <f t="shared" si="7"/>
        <v>2943</v>
      </c>
      <c r="L10" s="4">
        <f t="shared" si="7"/>
        <v>2923</v>
      </c>
      <c r="M10" s="4">
        <f t="shared" ref="M10" si="8">+M8+M9</f>
        <v>2763</v>
      </c>
      <c r="N10" s="4"/>
      <c r="Q10" s="4"/>
      <c r="R10" s="4">
        <f>+R8+R9</f>
        <v>11301</v>
      </c>
      <c r="S10" s="4">
        <f>+S8+S9</f>
        <v>11352</v>
      </c>
      <c r="T10" s="4">
        <f>+T8+T9</f>
        <v>11579.04</v>
      </c>
      <c r="U10" s="4">
        <f t="shared" ref="U10:AD10" si="9">+U8+U9</f>
        <v>11810.620800000001</v>
      </c>
      <c r="V10" s="4">
        <f t="shared" si="9"/>
        <v>12046.833216000001</v>
      </c>
      <c r="W10" s="4">
        <f t="shared" si="9"/>
        <v>12287.769880320002</v>
      </c>
      <c r="X10" s="4">
        <f t="shared" si="9"/>
        <v>12533.525277926403</v>
      </c>
      <c r="Y10" s="4">
        <f t="shared" si="9"/>
        <v>12784.195783484931</v>
      </c>
      <c r="Z10" s="4">
        <f t="shared" si="9"/>
        <v>13039.87969915463</v>
      </c>
      <c r="AA10" s="4">
        <f t="shared" si="9"/>
        <v>13300.677293137722</v>
      </c>
      <c r="AB10" s="4">
        <f t="shared" si="9"/>
        <v>13566.690839000477</v>
      </c>
      <c r="AC10" s="4">
        <f t="shared" si="9"/>
        <v>13838.024655780486</v>
      </c>
      <c r="AD10" s="4">
        <f t="shared" si="9"/>
        <v>14114.785148896095</v>
      </c>
    </row>
    <row r="11" spans="1:30" s="2" customFormat="1" x14ac:dyDescent="0.2">
      <c r="B11" s="2" t="s">
        <v>15</v>
      </c>
      <c r="C11" s="4"/>
      <c r="D11" s="4"/>
      <c r="E11" s="4">
        <f t="shared" ref="E11:L11" si="10">+E7-E10</f>
        <v>3666</v>
      </c>
      <c r="F11" s="4">
        <f t="shared" si="10"/>
        <v>2545</v>
      </c>
      <c r="G11" s="4">
        <f t="shared" si="10"/>
        <v>2298</v>
      </c>
      <c r="H11" s="4">
        <f t="shared" si="10"/>
        <v>1819</v>
      </c>
      <c r="I11" s="4">
        <f t="shared" si="10"/>
        <v>1988</v>
      </c>
      <c r="J11" s="4">
        <f t="shared" si="10"/>
        <v>2900</v>
      </c>
      <c r="K11" s="4">
        <f t="shared" si="10"/>
        <v>2340</v>
      </c>
      <c r="L11" s="4">
        <f t="shared" si="10"/>
        <v>2296</v>
      </c>
      <c r="M11" s="4">
        <f t="shared" ref="M11" si="11">+M7-M10</f>
        <v>2497.0800000000008</v>
      </c>
      <c r="N11" s="4"/>
      <c r="Q11" s="4"/>
      <c r="R11" s="4">
        <f>+R7-R10</f>
        <v>8650</v>
      </c>
      <c r="S11" s="4">
        <f>+S7-S10</f>
        <v>9992</v>
      </c>
      <c r="T11" s="4">
        <f>+T7-T10</f>
        <v>10829.640000000003</v>
      </c>
      <c r="U11" s="4">
        <f t="shared" ref="U11:AD11" si="12">+U7-U10</f>
        <v>11718.493200000001</v>
      </c>
      <c r="V11" s="4">
        <f t="shared" si="12"/>
        <v>12658.736484000003</v>
      </c>
      <c r="W11" s="4">
        <f t="shared" si="12"/>
        <v>13653.078304680004</v>
      </c>
      <c r="X11" s="4">
        <f t="shared" si="12"/>
        <v>14704.365316323607</v>
      </c>
      <c r="Y11" s="4">
        <f t="shared" si="12"/>
        <v>15815.589340477578</v>
      </c>
      <c r="Z11" s="4">
        <f t="shared" si="12"/>
        <v>16989.894681006008</v>
      </c>
      <c r="AA11" s="4">
        <f t="shared" si="12"/>
        <v>18230.585806030947</v>
      </c>
      <c r="AB11" s="4">
        <f t="shared" si="12"/>
        <v>19541.135415126628</v>
      </c>
      <c r="AC11" s="4">
        <f t="shared" si="12"/>
        <v>20925.192911052975</v>
      </c>
      <c r="AD11" s="4">
        <f t="shared" si="12"/>
        <v>22386.593296279039</v>
      </c>
    </row>
    <row r="12" spans="1:30" s="2" customFormat="1" x14ac:dyDescent="0.2">
      <c r="B12" s="2" t="s">
        <v>23</v>
      </c>
      <c r="C12" s="4"/>
      <c r="D12" s="4"/>
      <c r="E12" s="4">
        <f>-145-51</f>
        <v>-196</v>
      </c>
      <c r="F12" s="4">
        <f>-80-170+76</f>
        <v>-174</v>
      </c>
      <c r="G12" s="4">
        <f>-179-16</f>
        <v>-195</v>
      </c>
      <c r="H12" s="4">
        <f>-4-172+106</f>
        <v>-70</v>
      </c>
      <c r="I12" s="4">
        <f>-174+183</f>
        <v>9</v>
      </c>
      <c r="J12" s="4">
        <f>28-178+212</f>
        <v>62</v>
      </c>
      <c r="K12" s="4">
        <f>-172+330</f>
        <v>158</v>
      </c>
      <c r="L12" s="4">
        <f>-75-168+226</f>
        <v>-17</v>
      </c>
      <c r="M12" s="4">
        <f>+L12</f>
        <v>-17</v>
      </c>
      <c r="N12" s="4"/>
      <c r="Q12" s="4"/>
      <c r="R12" s="4">
        <f>SUM(F12:I12)</f>
        <v>-430</v>
      </c>
      <c r="S12" s="4">
        <f>SUM(J12:M12)</f>
        <v>186</v>
      </c>
      <c r="T12" s="2">
        <f>+S22*$AG$18</f>
        <v>35.503600000000027</v>
      </c>
      <c r="U12" s="2">
        <f t="shared" ref="U12:AD12" si="13">+T22*$AG$18</f>
        <v>497.27220300000022</v>
      </c>
      <c r="V12" s="2">
        <f t="shared" si="13"/>
        <v>1016.4422326275003</v>
      </c>
      <c r="W12" s="2">
        <f t="shared" si="13"/>
        <v>1597.637328084169</v>
      </c>
      <c r="X12" s="2">
        <f t="shared" si="13"/>
        <v>2245.7927424766467</v>
      </c>
      <c r="Y12" s="2">
        <f t="shared" si="13"/>
        <v>2966.1744599756576</v>
      </c>
      <c r="Z12" s="2">
        <f t="shared" si="13"/>
        <v>3764.3994214949198</v>
      </c>
      <c r="AA12" s="2">
        <f t="shared" si="13"/>
        <v>4646.4569208512094</v>
      </c>
      <c r="AB12" s="2">
        <f t="shared" si="13"/>
        <v>5618.7312367437007</v>
      </c>
      <c r="AC12" s="2">
        <f t="shared" si="13"/>
        <v>6688.0255694481893</v>
      </c>
      <c r="AD12" s="2">
        <f t="shared" si="13"/>
        <v>7861.587354869489</v>
      </c>
    </row>
    <row r="13" spans="1:30" s="2" customFormat="1" x14ac:dyDescent="0.2">
      <c r="B13" s="2" t="s">
        <v>24</v>
      </c>
      <c r="C13" s="4"/>
      <c r="D13" s="4"/>
      <c r="E13" s="4">
        <f>+E11+E12</f>
        <v>3470</v>
      </c>
      <c r="F13" s="4">
        <f>+F11+F12</f>
        <v>2371</v>
      </c>
      <c r="G13" s="4">
        <f>+G11+G12</f>
        <v>2103</v>
      </c>
      <c r="H13" s="4">
        <f t="shared" ref="H13" si="14">+H11+H12</f>
        <v>1749</v>
      </c>
      <c r="I13" s="4">
        <f>+I11+I12</f>
        <v>1997</v>
      </c>
      <c r="J13" s="4">
        <f>+J11+J12</f>
        <v>2962</v>
      </c>
      <c r="K13" s="4">
        <f>+K11+K12</f>
        <v>2498</v>
      </c>
      <c r="L13" s="4">
        <f>+L11+L12</f>
        <v>2279</v>
      </c>
      <c r="M13" s="4">
        <f>+M11+M12</f>
        <v>2480.0800000000008</v>
      </c>
      <c r="N13" s="4"/>
      <c r="Q13" s="4"/>
      <c r="R13" s="4">
        <f>+R11+R12</f>
        <v>8220</v>
      </c>
      <c r="S13" s="4">
        <f>+S11+S12</f>
        <v>10178</v>
      </c>
      <c r="T13" s="4">
        <f t="shared" ref="T13:AD13" si="15">+T11+T12</f>
        <v>10865.143600000003</v>
      </c>
      <c r="U13" s="4">
        <f t="shared" si="15"/>
        <v>12215.765403000001</v>
      </c>
      <c r="V13" s="4">
        <f t="shared" si="15"/>
        <v>13675.178716627503</v>
      </c>
      <c r="W13" s="4">
        <f t="shared" si="15"/>
        <v>15250.715632764173</v>
      </c>
      <c r="X13" s="4">
        <f t="shared" si="15"/>
        <v>16950.158058800254</v>
      </c>
      <c r="Y13" s="4">
        <f t="shared" si="15"/>
        <v>18781.763800453235</v>
      </c>
      <c r="Z13" s="4">
        <f t="shared" si="15"/>
        <v>20754.294102500928</v>
      </c>
      <c r="AA13" s="4">
        <f t="shared" si="15"/>
        <v>22877.042726882159</v>
      </c>
      <c r="AB13" s="4">
        <f t="shared" si="15"/>
        <v>25159.866651870328</v>
      </c>
      <c r="AC13" s="4">
        <f t="shared" si="15"/>
        <v>27613.218480501164</v>
      </c>
      <c r="AD13" s="4">
        <f t="shared" si="15"/>
        <v>30248.180651148527</v>
      </c>
    </row>
    <row r="14" spans="1:30" s="2" customFormat="1" x14ac:dyDescent="0.2">
      <c r="B14" s="2" t="s">
        <v>25</v>
      </c>
      <c r="C14" s="4"/>
      <c r="D14" s="4"/>
      <c r="E14" s="4">
        <v>547</v>
      </c>
      <c r="F14" s="4">
        <f>98</f>
        <v>98</v>
      </c>
      <c r="G14" s="4">
        <f>193</f>
        <v>193</v>
      </c>
      <c r="H14" s="4">
        <f>22</f>
        <v>22</v>
      </c>
      <c r="I14" s="4">
        <v>209</v>
      </c>
      <c r="J14" s="4">
        <f>151</f>
        <v>151</v>
      </c>
      <c r="K14" s="4">
        <f>223</f>
        <v>223</v>
      </c>
      <c r="L14" s="4">
        <f>171</f>
        <v>171</v>
      </c>
      <c r="M14" s="4">
        <f>+M13*0.1</f>
        <v>248.0080000000001</v>
      </c>
      <c r="N14" s="4"/>
      <c r="Q14" s="4"/>
      <c r="R14" s="4">
        <f>SUM(F14:I14)</f>
        <v>522</v>
      </c>
      <c r="S14" s="4">
        <f>SUM(J14:M14)</f>
        <v>793.00800000000004</v>
      </c>
      <c r="T14" s="2">
        <f>+T13*0.15</f>
        <v>1629.7715400000004</v>
      </c>
      <c r="U14" s="2">
        <f t="shared" ref="U14:AD14" si="16">+U13*0.15</f>
        <v>1832.36481045</v>
      </c>
      <c r="V14" s="2">
        <f t="shared" si="16"/>
        <v>2051.2768074941255</v>
      </c>
      <c r="W14" s="2">
        <f t="shared" si="16"/>
        <v>2287.6073449146261</v>
      </c>
      <c r="X14" s="2">
        <f t="shared" si="16"/>
        <v>2542.5237088200379</v>
      </c>
      <c r="Y14" s="2">
        <f t="shared" si="16"/>
        <v>2817.264570067985</v>
      </c>
      <c r="Z14" s="2">
        <f t="shared" si="16"/>
        <v>3113.1441153751389</v>
      </c>
      <c r="AA14" s="2">
        <f t="shared" si="16"/>
        <v>3431.5564090323237</v>
      </c>
      <c r="AB14" s="2">
        <f t="shared" si="16"/>
        <v>3773.9799977805492</v>
      </c>
      <c r="AC14" s="2">
        <f t="shared" si="16"/>
        <v>4141.9827720751746</v>
      </c>
      <c r="AD14" s="2">
        <f t="shared" si="16"/>
        <v>4537.2270976722784</v>
      </c>
    </row>
    <row r="15" spans="1:30" s="2" customFormat="1" x14ac:dyDescent="0.2">
      <c r="B15" s="2" t="s">
        <v>26</v>
      </c>
      <c r="C15" s="4"/>
      <c r="D15" s="4"/>
      <c r="E15" s="4">
        <f t="shared" ref="E15:M15" si="17">+E13-E14</f>
        <v>2923</v>
      </c>
      <c r="F15" s="4">
        <f t="shared" si="17"/>
        <v>2273</v>
      </c>
      <c r="G15" s="4">
        <f t="shared" si="17"/>
        <v>1910</v>
      </c>
      <c r="H15" s="4">
        <f>+H13-H14</f>
        <v>1727</v>
      </c>
      <c r="I15" s="4">
        <f t="shared" si="17"/>
        <v>1788</v>
      </c>
      <c r="J15" s="4">
        <f t="shared" si="17"/>
        <v>2811</v>
      </c>
      <c r="K15" s="4">
        <f t="shared" si="17"/>
        <v>2275</v>
      </c>
      <c r="L15" s="4">
        <f t="shared" si="17"/>
        <v>2108</v>
      </c>
      <c r="M15" s="4">
        <f t="shared" si="17"/>
        <v>2232.0720000000006</v>
      </c>
      <c r="N15" s="4"/>
      <c r="Q15" s="4"/>
      <c r="R15" s="4">
        <f>+R13-R14</f>
        <v>7698</v>
      </c>
      <c r="S15" s="4">
        <f>+S13-S14</f>
        <v>9384.9920000000002</v>
      </c>
      <c r="T15" s="4">
        <f>+T13-T14</f>
        <v>9235.3720600000033</v>
      </c>
      <c r="U15" s="4">
        <f t="shared" ref="U15:AD15" si="18">+U13-U14</f>
        <v>10383.400592550001</v>
      </c>
      <c r="V15" s="4">
        <f t="shared" si="18"/>
        <v>11623.901909133378</v>
      </c>
      <c r="W15" s="4">
        <f t="shared" si="18"/>
        <v>12963.108287849547</v>
      </c>
      <c r="X15" s="4">
        <f t="shared" si="18"/>
        <v>14407.634349980217</v>
      </c>
      <c r="Y15" s="4">
        <f t="shared" si="18"/>
        <v>15964.499230385249</v>
      </c>
      <c r="Z15" s="4">
        <f t="shared" si="18"/>
        <v>17641.149987125787</v>
      </c>
      <c r="AA15" s="4">
        <f t="shared" si="18"/>
        <v>19445.486317849834</v>
      </c>
      <c r="AB15" s="4">
        <f t="shared" si="18"/>
        <v>21385.88665408978</v>
      </c>
      <c r="AC15" s="4">
        <f t="shared" si="18"/>
        <v>23471.235708425989</v>
      </c>
      <c r="AD15" s="4">
        <f t="shared" si="18"/>
        <v>25710.953553476247</v>
      </c>
    </row>
    <row r="16" spans="1:30" s="1" customFormat="1" x14ac:dyDescent="0.2">
      <c r="B16" s="1" t="s">
        <v>27</v>
      </c>
      <c r="C16" s="7"/>
      <c r="D16" s="7"/>
      <c r="E16" s="7">
        <f t="shared" ref="E16:M16" si="19">E15/E17</f>
        <v>2.5798764342453664</v>
      </c>
      <c r="F16" s="7">
        <f t="shared" si="19"/>
        <v>2.0097259062776303</v>
      </c>
      <c r="G16" s="7">
        <f t="shared" si="19"/>
        <v>1.7008014247551202</v>
      </c>
      <c r="H16" s="7">
        <f t="shared" si="19"/>
        <v>1.5364768683274022</v>
      </c>
      <c r="I16" s="7">
        <f t="shared" si="19"/>
        <v>1.5893333333333333</v>
      </c>
      <c r="J16" s="7">
        <f t="shared" si="19"/>
        <v>2.4942324755989351</v>
      </c>
      <c r="K16" s="7">
        <f t="shared" si="19"/>
        <v>2.0132743362831858</v>
      </c>
      <c r="L16" s="7">
        <f t="shared" si="19"/>
        <v>1.8589065255731922</v>
      </c>
      <c r="M16" s="7">
        <f t="shared" si="19"/>
        <v>1.9683174603174609</v>
      </c>
      <c r="N16" s="7"/>
      <c r="Q16" s="7"/>
      <c r="R16" s="7">
        <f>R15/R17</f>
        <v>6.8381079280479682</v>
      </c>
      <c r="S16" s="7">
        <f>S15/S17</f>
        <v>8.2961255248618784</v>
      </c>
      <c r="T16" s="7">
        <f>T15/T17</f>
        <v>8.1638648044198927</v>
      </c>
      <c r="U16" s="7">
        <f t="shared" ref="U16:AD16" si="20">U15/U17</f>
        <v>9.1786966563977899</v>
      </c>
      <c r="V16" s="7">
        <f t="shared" si="20"/>
        <v>10.27527240586376</v>
      </c>
      <c r="W16" s="7">
        <f t="shared" si="20"/>
        <v>11.459101248927777</v>
      </c>
      <c r="X16" s="7">
        <f t="shared" si="20"/>
        <v>12.736030364623396</v>
      </c>
      <c r="Y16" s="7">
        <f t="shared" si="20"/>
        <v>14.112264513047734</v>
      </c>
      <c r="Z16" s="7">
        <f t="shared" si="20"/>
        <v>15.594386728950973</v>
      </c>
      <c r="AA16" s="7">
        <f t="shared" si="20"/>
        <v>17.18938017047499</v>
      </c>
      <c r="AB16" s="7">
        <f t="shared" si="20"/>
        <v>18.904651185935716</v>
      </c>
      <c r="AC16" s="7">
        <f t="shared" si="20"/>
        <v>20.748053664906951</v>
      </c>
      <c r="AD16" s="7">
        <f t="shared" si="20"/>
        <v>22.727914743404419</v>
      </c>
    </row>
    <row r="17" spans="2:33" s="2" customFormat="1" x14ac:dyDescent="0.2">
      <c r="B17" s="2" t="s">
        <v>1</v>
      </c>
      <c r="C17" s="4"/>
      <c r="D17" s="4"/>
      <c r="E17" s="4">
        <v>1133</v>
      </c>
      <c r="F17" s="4">
        <v>1131</v>
      </c>
      <c r="G17" s="4">
        <v>1123</v>
      </c>
      <c r="H17" s="4">
        <v>1124</v>
      </c>
      <c r="I17" s="4">
        <v>1125</v>
      </c>
      <c r="J17" s="4">
        <v>1127</v>
      </c>
      <c r="K17" s="4">
        <v>1130</v>
      </c>
      <c r="L17" s="4">
        <v>1134</v>
      </c>
      <c r="M17" s="4">
        <f>+L17</f>
        <v>1134</v>
      </c>
      <c r="N17" s="4"/>
      <c r="Q17" s="4"/>
      <c r="R17" s="4">
        <f>AVERAGE(F17:I17)</f>
        <v>1125.75</v>
      </c>
      <c r="S17" s="4">
        <f>AVERAGE(J17:M17)</f>
        <v>1131.25</v>
      </c>
      <c r="T17" s="2">
        <f>+S17</f>
        <v>1131.25</v>
      </c>
      <c r="U17" s="2">
        <f t="shared" ref="U17:AD17" si="21">+T17</f>
        <v>1131.25</v>
      </c>
      <c r="V17" s="2">
        <f t="shared" si="21"/>
        <v>1131.25</v>
      </c>
      <c r="W17" s="2">
        <f t="shared" si="21"/>
        <v>1131.25</v>
      </c>
      <c r="X17" s="2">
        <f t="shared" si="21"/>
        <v>1131.25</v>
      </c>
      <c r="Y17" s="2">
        <f t="shared" si="21"/>
        <v>1131.25</v>
      </c>
      <c r="Z17" s="2">
        <f t="shared" si="21"/>
        <v>1131.25</v>
      </c>
      <c r="AA17" s="2">
        <f t="shared" si="21"/>
        <v>1131.25</v>
      </c>
      <c r="AB17" s="2">
        <f t="shared" si="21"/>
        <v>1131.25</v>
      </c>
      <c r="AC17" s="2">
        <f t="shared" si="21"/>
        <v>1131.25</v>
      </c>
      <c r="AD17" s="2">
        <f t="shared" si="21"/>
        <v>1131.25</v>
      </c>
    </row>
    <row r="18" spans="2:33" x14ac:dyDescent="0.2">
      <c r="AF18" t="s">
        <v>85</v>
      </c>
      <c r="AG18" s="10">
        <v>0.05</v>
      </c>
    </row>
    <row r="19" spans="2:33" x14ac:dyDescent="0.2">
      <c r="B19" s="2" t="s">
        <v>43</v>
      </c>
      <c r="I19" s="8">
        <f>+I5/E5-1</f>
        <v>-0.24262899262899262</v>
      </c>
      <c r="J19" s="8">
        <f>+J5/F5-1</f>
        <v>4.9878474056852973E-2</v>
      </c>
      <c r="K19" s="8">
        <f>+K5/G5-1</f>
        <v>1.2291105121293722E-2</v>
      </c>
      <c r="L19" s="8">
        <f>+L5/H5-1</f>
        <v>0.11146609868654589</v>
      </c>
      <c r="M19" s="8">
        <f>+M5/I5-1</f>
        <v>8.8286409454292558E-2</v>
      </c>
      <c r="S19" s="8">
        <f>+S5/R5-1</f>
        <v>6.3930764935790085E-2</v>
      </c>
      <c r="T19" s="8">
        <f t="shared" ref="T19:AD19" si="22">+T5/S5-1</f>
        <v>5.0000000000000044E-2</v>
      </c>
      <c r="U19" s="8">
        <f t="shared" si="22"/>
        <v>5.0000000000000044E-2</v>
      </c>
      <c r="V19" s="8">
        <f t="shared" si="22"/>
        <v>5.0000000000000044E-2</v>
      </c>
      <c r="W19" s="8">
        <f t="shared" si="22"/>
        <v>5.0000000000000044E-2</v>
      </c>
      <c r="X19" s="8">
        <f t="shared" si="22"/>
        <v>5.0000000000000044E-2</v>
      </c>
      <c r="Y19" s="8">
        <f t="shared" si="22"/>
        <v>5.0000000000000044E-2</v>
      </c>
      <c r="Z19" s="8">
        <f t="shared" si="22"/>
        <v>5.0000000000000044E-2</v>
      </c>
      <c r="AA19" s="8">
        <f t="shared" si="22"/>
        <v>5.0000000000000044E-2</v>
      </c>
      <c r="AB19" s="8">
        <f t="shared" si="22"/>
        <v>5.0000000000000044E-2</v>
      </c>
      <c r="AC19" s="8">
        <f t="shared" si="22"/>
        <v>5.0000000000000044E-2</v>
      </c>
      <c r="AD19" s="8">
        <f t="shared" si="22"/>
        <v>5.0000000000000044E-2</v>
      </c>
    </row>
    <row r="20" spans="2:33" x14ac:dyDescent="0.2">
      <c r="B20" s="2" t="s">
        <v>67</v>
      </c>
      <c r="F20" s="8">
        <f t="shared" ref="F20:I20" si="23">+F7/F5</f>
        <v>0.57265137905526786</v>
      </c>
      <c r="G20" s="8">
        <f t="shared" si="23"/>
        <v>0.55223719676549865</v>
      </c>
      <c r="H20" s="8">
        <f t="shared" si="23"/>
        <v>0.55129570465033728</v>
      </c>
      <c r="I20" s="8">
        <f t="shared" si="23"/>
        <v>0.55045765264743363</v>
      </c>
      <c r="J20" s="8">
        <f t="shared" ref="J20:K20" si="24">+J7/J5</f>
        <v>0.56597886260694519</v>
      </c>
      <c r="K20" s="8">
        <f t="shared" si="24"/>
        <v>0.56267973160080942</v>
      </c>
      <c r="L20" s="8">
        <f>+L7/L5</f>
        <v>0.555626530394975</v>
      </c>
      <c r="M20" s="8">
        <f>+M7/M5</f>
        <v>0.56000000000000005</v>
      </c>
      <c r="S20" s="8">
        <f>+S7/S5</f>
        <v>0.56006297559695617</v>
      </c>
      <c r="T20" s="8">
        <f t="shared" ref="T20:AD20" si="25">+T7/T5</f>
        <v>0.56000000000000005</v>
      </c>
      <c r="U20" s="8">
        <f t="shared" si="25"/>
        <v>0.56000000000000005</v>
      </c>
      <c r="V20" s="8">
        <f t="shared" si="25"/>
        <v>0.56000000000000005</v>
      </c>
      <c r="W20" s="8">
        <f t="shared" si="25"/>
        <v>0.56000000000000005</v>
      </c>
      <c r="X20" s="8">
        <f t="shared" si="25"/>
        <v>0.56000000000000005</v>
      </c>
      <c r="Y20" s="8">
        <f t="shared" si="25"/>
        <v>0.56000000000000005</v>
      </c>
      <c r="Z20" s="8">
        <f t="shared" si="25"/>
        <v>0.56000000000000005</v>
      </c>
      <c r="AA20" s="8">
        <f t="shared" si="25"/>
        <v>0.56000000000000005</v>
      </c>
      <c r="AB20" s="8">
        <f t="shared" si="25"/>
        <v>0.56000000000000005</v>
      </c>
      <c r="AC20" s="8">
        <f t="shared" si="25"/>
        <v>0.56000000000000005</v>
      </c>
      <c r="AD20" s="8">
        <f t="shared" si="25"/>
        <v>0.56000000000000005</v>
      </c>
    </row>
    <row r="22" spans="2:33" x14ac:dyDescent="0.2">
      <c r="B22" s="2" t="s">
        <v>84</v>
      </c>
      <c r="L22" s="4">
        <f>L23-L37</f>
        <v>-1522</v>
      </c>
      <c r="M22" s="4">
        <f>+L22+M15</f>
        <v>710.07200000000057</v>
      </c>
      <c r="S22" s="4">
        <f>+M22</f>
        <v>710.07200000000057</v>
      </c>
      <c r="T22" s="2">
        <f>+S22+T15</f>
        <v>9945.4440600000034</v>
      </c>
      <c r="U22" s="2">
        <f t="shared" ref="U22:AD22" si="26">+T22+U15</f>
        <v>20328.844652550004</v>
      </c>
      <c r="V22" s="2">
        <f t="shared" si="26"/>
        <v>31952.74656168338</v>
      </c>
      <c r="W22" s="2">
        <f t="shared" si="26"/>
        <v>44915.854849532931</v>
      </c>
      <c r="X22" s="2">
        <f t="shared" si="26"/>
        <v>59323.489199513147</v>
      </c>
      <c r="Y22" s="2">
        <f t="shared" si="26"/>
        <v>75287.988429898396</v>
      </c>
      <c r="Z22" s="2">
        <f t="shared" si="26"/>
        <v>92929.13841702418</v>
      </c>
      <c r="AA22" s="2">
        <f t="shared" si="26"/>
        <v>112374.62473487401</v>
      </c>
      <c r="AB22" s="2">
        <f t="shared" si="26"/>
        <v>133760.51138896379</v>
      </c>
      <c r="AC22" s="2">
        <f t="shared" si="26"/>
        <v>157231.74709738977</v>
      </c>
      <c r="AD22" s="2">
        <f t="shared" si="26"/>
        <v>182942.70065086603</v>
      </c>
    </row>
    <row r="23" spans="2:33" s="2" customFormat="1" x14ac:dyDescent="0.2">
      <c r="B23" s="2" t="s">
        <v>3</v>
      </c>
      <c r="C23" s="4"/>
      <c r="D23" s="4"/>
      <c r="E23" s="4"/>
      <c r="F23" s="4"/>
      <c r="G23" s="4"/>
      <c r="H23" s="4"/>
      <c r="I23" s="4"/>
      <c r="J23" s="4">
        <f>8133+3921</f>
        <v>12054</v>
      </c>
      <c r="K23" s="4">
        <f>9219+4632</f>
        <v>13851</v>
      </c>
      <c r="L23" s="4">
        <f>7770+5262</f>
        <v>13032</v>
      </c>
      <c r="M23" s="4"/>
      <c r="N23" s="4"/>
      <c r="Q23" s="4"/>
      <c r="R23" s="4"/>
      <c r="S23" s="4"/>
    </row>
    <row r="24" spans="2:33" s="2" customFormat="1" x14ac:dyDescent="0.2">
      <c r="B24" s="2" t="s">
        <v>28</v>
      </c>
      <c r="C24" s="4"/>
      <c r="D24" s="4"/>
      <c r="E24" s="4"/>
      <c r="F24" s="4"/>
      <c r="G24" s="4"/>
      <c r="H24" s="4"/>
      <c r="I24" s="4"/>
      <c r="J24" s="4">
        <v>3513</v>
      </c>
      <c r="K24" s="4">
        <v>3054</v>
      </c>
      <c r="L24" s="4">
        <v>2948</v>
      </c>
      <c r="M24" s="4"/>
      <c r="N24" s="4"/>
      <c r="Q24" s="4"/>
      <c r="R24" s="4"/>
      <c r="S24" s="4"/>
    </row>
    <row r="25" spans="2:33" s="2" customFormat="1" x14ac:dyDescent="0.2">
      <c r="B25" s="2" t="s">
        <v>29</v>
      </c>
      <c r="C25" s="4"/>
      <c r="D25" s="4"/>
      <c r="E25" s="4"/>
      <c r="F25" s="4"/>
      <c r="G25" s="4"/>
      <c r="H25" s="4"/>
      <c r="I25" s="4"/>
      <c r="J25" s="4">
        <v>6247</v>
      </c>
      <c r="K25" s="4">
        <v>6087</v>
      </c>
      <c r="L25" s="4">
        <v>6020</v>
      </c>
      <c r="M25" s="4"/>
      <c r="N25" s="4"/>
      <c r="Q25" s="4"/>
      <c r="R25" s="4"/>
      <c r="S25" s="4"/>
    </row>
    <row r="26" spans="2:33" s="2" customFormat="1" x14ac:dyDescent="0.2">
      <c r="B26" s="2" t="s">
        <v>30</v>
      </c>
      <c r="C26" s="4"/>
      <c r="D26" s="4"/>
      <c r="E26" s="4"/>
      <c r="F26" s="4"/>
      <c r="G26" s="4"/>
      <c r="H26" s="4"/>
      <c r="I26" s="4"/>
      <c r="J26" s="4">
        <v>1288</v>
      </c>
      <c r="K26" s="4">
        <v>1240</v>
      </c>
      <c r="L26" s="4">
        <v>1332</v>
      </c>
      <c r="M26" s="4"/>
      <c r="N26" s="4"/>
      <c r="Q26" s="4"/>
      <c r="R26" s="4"/>
      <c r="S26" s="4"/>
    </row>
    <row r="27" spans="2:33" s="2" customFormat="1" x14ac:dyDescent="0.2">
      <c r="B27" s="2" t="s">
        <v>44</v>
      </c>
      <c r="C27" s="4"/>
      <c r="D27" s="4"/>
      <c r="E27" s="4"/>
      <c r="F27" s="4"/>
      <c r="G27" s="4"/>
      <c r="H27" s="4"/>
      <c r="I27" s="4"/>
      <c r="J27" s="4">
        <f>337+69</f>
        <v>406</v>
      </c>
      <c r="K27" s="4">
        <v>0</v>
      </c>
      <c r="L27" s="4">
        <v>0</v>
      </c>
      <c r="M27" s="4"/>
      <c r="N27" s="4"/>
      <c r="Q27" s="4"/>
      <c r="R27" s="4"/>
      <c r="S27" s="4"/>
    </row>
    <row r="28" spans="2:33" s="2" customFormat="1" x14ac:dyDescent="0.2">
      <c r="B28" s="2" t="s">
        <v>34</v>
      </c>
      <c r="C28" s="4"/>
      <c r="D28" s="4"/>
      <c r="E28" s="4"/>
      <c r="F28" s="4"/>
      <c r="G28" s="4"/>
      <c r="H28" s="4"/>
      <c r="I28" s="4"/>
      <c r="J28" s="4">
        <v>3579</v>
      </c>
      <c r="K28" s="4">
        <v>3978</v>
      </c>
      <c r="L28" s="4">
        <v>4420</v>
      </c>
      <c r="M28" s="4"/>
      <c r="N28" s="4"/>
      <c r="Q28" s="4"/>
      <c r="R28" s="4"/>
      <c r="S28" s="4"/>
    </row>
    <row r="29" spans="2:33" s="2" customFormat="1" x14ac:dyDescent="0.2">
      <c r="B29" s="2" t="s">
        <v>31</v>
      </c>
      <c r="C29" s="4"/>
      <c r="D29" s="4"/>
      <c r="E29" s="4"/>
      <c r="F29" s="4"/>
      <c r="G29" s="4"/>
      <c r="H29" s="4"/>
      <c r="I29" s="4"/>
      <c r="J29" s="4">
        <v>4907</v>
      </c>
      <c r="K29" s="4">
        <v>4724</v>
      </c>
      <c r="L29" s="4">
        <v>4744</v>
      </c>
      <c r="M29" s="4"/>
      <c r="N29" s="4"/>
      <c r="Q29" s="4"/>
      <c r="R29" s="4"/>
      <c r="S29" s="4"/>
    </row>
    <row r="30" spans="2:33" s="2" customFormat="1" x14ac:dyDescent="0.2">
      <c r="B30" s="2" t="s">
        <v>32</v>
      </c>
      <c r="C30" s="4"/>
      <c r="D30" s="4"/>
      <c r="E30" s="4"/>
      <c r="F30" s="4"/>
      <c r="G30" s="4"/>
      <c r="H30" s="4"/>
      <c r="I30" s="4"/>
      <c r="J30" s="4">
        <f>10722+1387</f>
        <v>12109</v>
      </c>
      <c r="K30" s="4">
        <f>10760+1331</f>
        <v>12091</v>
      </c>
      <c r="L30" s="4">
        <f>10770+1296</f>
        <v>12066</v>
      </c>
      <c r="M30" s="4"/>
      <c r="N30" s="4"/>
      <c r="Q30" s="4"/>
      <c r="R30" s="4"/>
      <c r="S30" s="4"/>
    </row>
    <row r="31" spans="2:33" s="2" customFormat="1" x14ac:dyDescent="0.2">
      <c r="B31" s="2" t="s">
        <v>33</v>
      </c>
      <c r="C31" s="4"/>
      <c r="D31" s="4"/>
      <c r="E31" s="4"/>
      <c r="F31" s="4"/>
      <c r="G31" s="4"/>
      <c r="H31" s="4"/>
      <c r="I31" s="4"/>
      <c r="J31" s="4">
        <v>8032</v>
      </c>
      <c r="K31" s="4">
        <v>8142</v>
      </c>
      <c r="L31" s="4">
        <v>8179</v>
      </c>
      <c r="M31" s="4"/>
      <c r="N31" s="4"/>
      <c r="Q31" s="4"/>
      <c r="R31" s="4"/>
      <c r="S31" s="4"/>
    </row>
    <row r="32" spans="2:33" s="2" customFormat="1" x14ac:dyDescent="0.2">
      <c r="B32" s="2" t="s">
        <v>35</v>
      </c>
      <c r="C32" s="4"/>
      <c r="D32" s="4"/>
      <c r="E32" s="4"/>
      <c r="F32" s="4"/>
      <c r="G32" s="4"/>
      <c r="H32" s="4"/>
      <c r="I32" s="4"/>
      <c r="J32" s="4">
        <f>SUM(J23:J31)</f>
        <v>52135</v>
      </c>
      <c r="K32" s="4">
        <f>SUM(K23:K31)</f>
        <v>53167</v>
      </c>
      <c r="L32" s="4">
        <f>SUM(L23:L31)</f>
        <v>52741</v>
      </c>
      <c r="M32" s="4"/>
      <c r="N32" s="4"/>
      <c r="Q32" s="4"/>
      <c r="R32" s="4"/>
      <c r="S32" s="4"/>
    </row>
    <row r="33" spans="2:19" s="2" customFormat="1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Q33" s="4"/>
      <c r="R33" s="4"/>
      <c r="S33" s="4"/>
    </row>
    <row r="34" spans="2:19" s="2" customFormat="1" x14ac:dyDescent="0.2">
      <c r="B34" s="2" t="s">
        <v>36</v>
      </c>
      <c r="C34" s="4"/>
      <c r="D34" s="4"/>
      <c r="E34" s="4"/>
      <c r="F34" s="4"/>
      <c r="G34" s="4"/>
      <c r="H34" s="4"/>
      <c r="I34" s="4"/>
      <c r="J34" s="4">
        <v>2147</v>
      </c>
      <c r="K34" s="4">
        <v>2314</v>
      </c>
      <c r="L34" s="4">
        <v>2586</v>
      </c>
      <c r="M34" s="4"/>
      <c r="N34" s="4"/>
      <c r="Q34" s="4"/>
      <c r="R34" s="4"/>
      <c r="S34" s="4"/>
    </row>
    <row r="35" spans="2:19" s="2" customFormat="1" x14ac:dyDescent="0.2">
      <c r="B35" s="2" t="s">
        <v>37</v>
      </c>
      <c r="C35" s="4"/>
      <c r="D35" s="4"/>
      <c r="E35" s="4"/>
      <c r="F35" s="4"/>
      <c r="G35" s="4"/>
      <c r="H35" s="4"/>
      <c r="I35" s="4"/>
      <c r="J35" s="4">
        <v>1757</v>
      </c>
      <c r="K35" s="4">
        <v>1253</v>
      </c>
      <c r="L35" s="4">
        <v>1780</v>
      </c>
      <c r="M35" s="4"/>
      <c r="N35" s="4"/>
      <c r="Q35" s="4"/>
      <c r="R35" s="4"/>
      <c r="S35" s="4"/>
    </row>
    <row r="36" spans="2:19" s="2" customFormat="1" x14ac:dyDescent="0.2">
      <c r="B36" s="2" t="s">
        <v>38</v>
      </c>
      <c r="C36" s="4"/>
      <c r="D36" s="4"/>
      <c r="E36" s="4"/>
      <c r="F36" s="4"/>
      <c r="G36" s="4"/>
      <c r="H36" s="4"/>
      <c r="I36" s="4"/>
      <c r="J36" s="4">
        <f>210+93</f>
        <v>303</v>
      </c>
      <c r="K36" s="4">
        <f>253+135</f>
        <v>388</v>
      </c>
      <c r="L36" s="4">
        <f>263+108</f>
        <v>371</v>
      </c>
      <c r="M36" s="4"/>
      <c r="N36" s="4"/>
      <c r="Q36" s="4"/>
      <c r="R36" s="4"/>
      <c r="S36" s="4"/>
    </row>
    <row r="37" spans="2:19" s="2" customFormat="1" x14ac:dyDescent="0.2">
      <c r="B37" s="2" t="s">
        <v>4</v>
      </c>
      <c r="C37" s="4"/>
      <c r="D37" s="4"/>
      <c r="E37" s="4"/>
      <c r="F37" s="4"/>
      <c r="G37" s="4"/>
      <c r="H37" s="4"/>
      <c r="I37" s="4"/>
      <c r="J37" s="4">
        <f>914+14566</f>
        <v>15480</v>
      </c>
      <c r="K37" s="4">
        <f>914+14543</f>
        <v>15457</v>
      </c>
      <c r="L37" s="4">
        <f>1364+13190</f>
        <v>14554</v>
      </c>
      <c r="M37" s="4"/>
      <c r="N37" s="4"/>
      <c r="Q37" s="4"/>
      <c r="R37" s="4"/>
      <c r="S37" s="4"/>
    </row>
    <row r="38" spans="2:19" s="2" customFormat="1" x14ac:dyDescent="0.2">
      <c r="B38" s="2" t="s">
        <v>39</v>
      </c>
      <c r="C38" s="4"/>
      <c r="D38" s="4"/>
      <c r="E38" s="4"/>
      <c r="F38" s="4"/>
      <c r="G38" s="4"/>
      <c r="H38" s="4"/>
      <c r="I38" s="4"/>
      <c r="J38" s="4">
        <v>3805</v>
      </c>
      <c r="K38" s="4">
        <v>4409</v>
      </c>
      <c r="L38" s="4">
        <v>3754</v>
      </c>
      <c r="M38" s="4"/>
      <c r="N38" s="4"/>
      <c r="Q38" s="4"/>
      <c r="R38" s="4"/>
      <c r="S38" s="4"/>
    </row>
    <row r="39" spans="2:19" s="2" customFormat="1" x14ac:dyDescent="0.2">
      <c r="B39" s="2" t="s">
        <v>44</v>
      </c>
      <c r="C39" s="4"/>
      <c r="D39" s="4"/>
      <c r="E39" s="4"/>
      <c r="F39" s="4"/>
      <c r="G39" s="4"/>
      <c r="H39" s="4"/>
      <c r="I39" s="4"/>
      <c r="J39" s="4">
        <f>336+43</f>
        <v>379</v>
      </c>
      <c r="K39" s="4">
        <v>0</v>
      </c>
      <c r="L39" s="4">
        <v>0</v>
      </c>
      <c r="M39" s="4"/>
      <c r="N39" s="4"/>
      <c r="Q39" s="4"/>
      <c r="R39" s="4"/>
      <c r="S39" s="4"/>
    </row>
    <row r="40" spans="2:19" s="2" customFormat="1" x14ac:dyDescent="0.2">
      <c r="B40" s="2" t="s">
        <v>25</v>
      </c>
      <c r="C40" s="4"/>
      <c r="D40" s="4"/>
      <c r="E40" s="4"/>
      <c r="F40" s="4"/>
      <c r="G40" s="4"/>
      <c r="H40" s="4"/>
      <c r="I40" s="4"/>
      <c r="J40" s="4">
        <v>1056</v>
      </c>
      <c r="K40" s="4">
        <v>526</v>
      </c>
      <c r="L40" s="4">
        <v>526</v>
      </c>
      <c r="M40" s="4"/>
      <c r="N40" s="4"/>
      <c r="Q40" s="4"/>
      <c r="R40" s="4"/>
      <c r="S40" s="4"/>
    </row>
    <row r="41" spans="2:19" s="2" customFormat="1" x14ac:dyDescent="0.2">
      <c r="B41" s="2" t="s">
        <v>40</v>
      </c>
      <c r="C41" s="4"/>
      <c r="D41" s="4"/>
      <c r="E41" s="4"/>
      <c r="F41" s="4"/>
      <c r="G41" s="4"/>
      <c r="H41" s="4"/>
      <c r="I41" s="4"/>
      <c r="J41" s="4">
        <v>4150</v>
      </c>
      <c r="K41" s="4">
        <v>4351</v>
      </c>
      <c r="L41" s="4">
        <v>4500</v>
      </c>
      <c r="M41" s="4"/>
      <c r="N41" s="4"/>
      <c r="Q41" s="4"/>
      <c r="R41" s="4"/>
      <c r="S41" s="4"/>
    </row>
    <row r="42" spans="2:19" s="2" customFormat="1" x14ac:dyDescent="0.2">
      <c r="B42" s="2" t="s">
        <v>41</v>
      </c>
      <c r="C42" s="4"/>
      <c r="D42" s="4"/>
      <c r="E42" s="4"/>
      <c r="F42" s="4"/>
      <c r="G42" s="4"/>
      <c r="H42" s="4"/>
      <c r="I42" s="4"/>
      <c r="J42" s="4">
        <v>23058</v>
      </c>
      <c r="K42" s="4">
        <v>24469</v>
      </c>
      <c r="L42" s="4">
        <v>24670</v>
      </c>
      <c r="M42" s="4"/>
      <c r="N42" s="4"/>
      <c r="Q42" s="4"/>
      <c r="R42" s="4"/>
      <c r="S42" s="4"/>
    </row>
    <row r="43" spans="2:19" s="2" customFormat="1" x14ac:dyDescent="0.2">
      <c r="B43" s="2" t="s">
        <v>42</v>
      </c>
      <c r="C43" s="4"/>
      <c r="D43" s="4"/>
      <c r="E43" s="4"/>
      <c r="F43" s="4"/>
      <c r="G43" s="4"/>
      <c r="H43" s="4"/>
      <c r="I43" s="4"/>
      <c r="J43" s="4">
        <f>SUM(J34:J42)</f>
        <v>52135</v>
      </c>
      <c r="K43" s="4">
        <f>SUM(K34:K42)</f>
        <v>53167</v>
      </c>
      <c r="L43" s="4">
        <f>SUM(L34:L42)</f>
        <v>52741</v>
      </c>
      <c r="M43" s="4"/>
      <c r="N43" s="4"/>
      <c r="Q43" s="4"/>
      <c r="R43" s="4"/>
      <c r="S43" s="4"/>
    </row>
    <row r="45" spans="2:19" s="2" customFormat="1" x14ac:dyDescent="0.2">
      <c r="B45" s="2" t="s">
        <v>45</v>
      </c>
      <c r="C45" s="4"/>
      <c r="D45" s="4"/>
      <c r="E45" s="4"/>
      <c r="F45" s="4"/>
      <c r="G45" s="4"/>
      <c r="H45" s="4"/>
      <c r="I45" s="4">
        <f>+I15</f>
        <v>1788</v>
      </c>
      <c r="J45" s="4">
        <f>+J15</f>
        <v>2811</v>
      </c>
      <c r="K45" s="4">
        <f>+K15</f>
        <v>2275</v>
      </c>
      <c r="L45" s="4">
        <f>+L15</f>
        <v>2108</v>
      </c>
      <c r="M45" s="4"/>
      <c r="N45" s="4"/>
      <c r="Q45" s="4"/>
      <c r="R45" s="4"/>
      <c r="S45" s="4"/>
    </row>
    <row r="46" spans="2:19" s="2" customFormat="1" x14ac:dyDescent="0.2">
      <c r="B46" s="2" t="s">
        <v>46</v>
      </c>
      <c r="C46" s="4"/>
      <c r="D46" s="4"/>
      <c r="E46" s="4"/>
      <c r="F46" s="4"/>
      <c r="G46" s="4"/>
      <c r="H46" s="4"/>
      <c r="I46" s="4">
        <v>1629</v>
      </c>
      <c r="J46" s="4">
        <v>2811</v>
      </c>
      <c r="K46" s="4">
        <f>5087-J46</f>
        <v>2276</v>
      </c>
      <c r="L46" s="4">
        <f>7195-K46-J46</f>
        <v>2108</v>
      </c>
      <c r="M46" s="4"/>
      <c r="N46" s="4"/>
      <c r="Q46" s="4"/>
      <c r="R46" s="4"/>
      <c r="S46" s="4"/>
    </row>
    <row r="47" spans="2:19" s="2" customFormat="1" x14ac:dyDescent="0.2">
      <c r="B47" s="2" t="s">
        <v>48</v>
      </c>
      <c r="C47" s="4"/>
      <c r="D47" s="4"/>
      <c r="E47" s="4"/>
      <c r="F47" s="4"/>
      <c r="G47" s="4"/>
      <c r="H47" s="4"/>
      <c r="I47" s="4">
        <v>462</v>
      </c>
      <c r="J47" s="4">
        <v>437</v>
      </c>
      <c r="K47" s="4">
        <f>848-J47</f>
        <v>411</v>
      </c>
      <c r="L47" s="4">
        <f>1267-K47-J47</f>
        <v>419</v>
      </c>
      <c r="M47" s="4"/>
      <c r="N47" s="4"/>
      <c r="Q47" s="4"/>
      <c r="R47" s="4"/>
      <c r="S47" s="4"/>
    </row>
    <row r="48" spans="2:19" s="2" customFormat="1" x14ac:dyDescent="0.2">
      <c r="B48" s="2" t="s">
        <v>25</v>
      </c>
      <c r="C48" s="4"/>
      <c r="D48" s="4"/>
      <c r="E48" s="4"/>
      <c r="F48" s="4"/>
      <c r="G48" s="4"/>
      <c r="H48" s="4"/>
      <c r="I48" s="4">
        <v>-433</v>
      </c>
      <c r="J48" s="4">
        <v>-1012</v>
      </c>
      <c r="K48" s="4">
        <f>-1764-J48</f>
        <v>-752</v>
      </c>
      <c r="L48" s="4">
        <f>-2538-K48-J48</f>
        <v>-774</v>
      </c>
      <c r="M48" s="4"/>
      <c r="N48" s="4"/>
      <c r="Q48" s="4"/>
      <c r="R48" s="4"/>
      <c r="S48" s="4"/>
    </row>
    <row r="49" spans="2:19" s="2" customFormat="1" x14ac:dyDescent="0.2">
      <c r="B49" s="2" t="s">
        <v>49</v>
      </c>
      <c r="C49" s="4"/>
      <c r="D49" s="4"/>
      <c r="E49" s="4"/>
      <c r="F49" s="4"/>
      <c r="G49" s="4"/>
      <c r="H49" s="4"/>
      <c r="I49" s="4">
        <v>608</v>
      </c>
      <c r="J49" s="4">
        <v>602</v>
      </c>
      <c r="K49" s="4">
        <f>1307-J49</f>
        <v>705</v>
      </c>
      <c r="L49" s="4">
        <f>1951-K49-J49</f>
        <v>644</v>
      </c>
      <c r="M49" s="4"/>
      <c r="N49" s="4"/>
      <c r="Q49" s="4"/>
      <c r="R49" s="4"/>
      <c r="S49" s="4"/>
    </row>
    <row r="50" spans="2:19" s="2" customFormat="1" x14ac:dyDescent="0.2">
      <c r="B50" s="2" t="s">
        <v>50</v>
      </c>
      <c r="C50" s="4"/>
      <c r="D50" s="4"/>
      <c r="E50" s="4"/>
      <c r="F50" s="4"/>
      <c r="G50" s="4"/>
      <c r="H50" s="4"/>
      <c r="I50" s="4">
        <v>-68</v>
      </c>
      <c r="J50" s="4">
        <v>-71</v>
      </c>
      <c r="K50" s="4">
        <f>-273-J50</f>
        <v>-202</v>
      </c>
      <c r="L50" s="4">
        <f>-314-K50-J50</f>
        <v>-41</v>
      </c>
      <c r="M50" s="4"/>
      <c r="N50" s="4"/>
      <c r="Q50" s="4"/>
      <c r="R50" s="4"/>
      <c r="S50" s="4"/>
    </row>
    <row r="51" spans="2:19" s="2" customFormat="1" x14ac:dyDescent="0.2">
      <c r="B51" s="2" t="s">
        <v>64</v>
      </c>
      <c r="C51" s="4"/>
      <c r="D51" s="4"/>
      <c r="E51" s="4"/>
      <c r="F51" s="4"/>
      <c r="G51" s="4"/>
      <c r="H51" s="4"/>
      <c r="I51" s="4">
        <f>179+12</f>
        <v>191</v>
      </c>
      <c r="J51" s="4">
        <v>0</v>
      </c>
      <c r="K51" s="4">
        <f>62-J51</f>
        <v>62</v>
      </c>
      <c r="L51" s="4">
        <f>66-K51-J51</f>
        <v>4</v>
      </c>
      <c r="M51" s="4"/>
      <c r="N51" s="4"/>
      <c r="Q51" s="4"/>
      <c r="R51" s="4"/>
      <c r="S51" s="4"/>
    </row>
    <row r="52" spans="2:19" s="2" customFormat="1" x14ac:dyDescent="0.2">
      <c r="B52" s="2" t="s">
        <v>51</v>
      </c>
      <c r="C52" s="4"/>
      <c r="D52" s="4"/>
      <c r="E52" s="4"/>
      <c r="F52" s="4"/>
      <c r="G52" s="4"/>
      <c r="H52" s="4"/>
      <c r="I52" s="4">
        <v>5</v>
      </c>
      <c r="J52" s="4">
        <v>9</v>
      </c>
      <c r="K52" s="4">
        <f>-30-J52</f>
        <v>-39</v>
      </c>
      <c r="L52" s="4">
        <f>-63-K52-J52</f>
        <v>-33</v>
      </c>
      <c r="M52" s="4"/>
      <c r="N52" s="4"/>
      <c r="Q52" s="4"/>
      <c r="R52" s="4"/>
      <c r="S52" s="4"/>
    </row>
    <row r="53" spans="2:19" s="2" customFormat="1" x14ac:dyDescent="0.2">
      <c r="B53" s="2" t="s">
        <v>52</v>
      </c>
      <c r="C53" s="4"/>
      <c r="D53" s="4"/>
      <c r="E53" s="4"/>
      <c r="F53" s="4"/>
      <c r="G53" s="4"/>
      <c r="H53" s="4"/>
      <c r="I53" s="4">
        <f>655+200-1+172+605+60-5</f>
        <v>1686</v>
      </c>
      <c r="J53" s="4">
        <f>-325+165+115+241+74-81-16</f>
        <v>173</v>
      </c>
      <c r="K53" s="4">
        <f>92+328+221+420+286+10-91-J53</f>
        <v>1093</v>
      </c>
      <c r="L53" s="4">
        <f>221+397+120+691+654-1-91-K53-J53</f>
        <v>725</v>
      </c>
      <c r="M53" s="4"/>
      <c r="N53" s="4"/>
      <c r="Q53" s="4"/>
      <c r="R53" s="4"/>
      <c r="S53" s="4"/>
    </row>
    <row r="54" spans="2:19" s="2" customFormat="1" x14ac:dyDescent="0.2">
      <c r="B54" s="2" t="s">
        <v>53</v>
      </c>
      <c r="C54" s="4"/>
      <c r="D54" s="4"/>
      <c r="E54" s="4"/>
      <c r="F54" s="4"/>
      <c r="G54" s="4"/>
      <c r="H54" s="4"/>
      <c r="I54" s="4">
        <f>SUM(I46:I53)</f>
        <v>4080</v>
      </c>
      <c r="J54" s="4">
        <f>SUM(J46:J53)</f>
        <v>2949</v>
      </c>
      <c r="K54" s="4">
        <f>SUM(K46:K53)</f>
        <v>3554</v>
      </c>
      <c r="L54" s="4">
        <f>SUM(L46:L53)</f>
        <v>3052</v>
      </c>
      <c r="M54" s="4">
        <f>+I54</f>
        <v>4080</v>
      </c>
      <c r="N54" s="4"/>
      <c r="Q54" s="4">
        <v>9096</v>
      </c>
      <c r="R54" s="4">
        <v>11299</v>
      </c>
      <c r="S54" s="4">
        <f>SUM(J54:M54)</f>
        <v>13635</v>
      </c>
    </row>
    <row r="55" spans="2:19" s="2" customFormat="1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Q55" s="4"/>
      <c r="R55" s="4"/>
      <c r="S55" s="4"/>
    </row>
    <row r="56" spans="2:19" s="2" customFormat="1" x14ac:dyDescent="0.2">
      <c r="B56" s="2" t="s">
        <v>47</v>
      </c>
      <c r="C56" s="4"/>
      <c r="D56" s="4"/>
      <c r="E56" s="4"/>
      <c r="F56" s="4"/>
      <c r="G56" s="4"/>
      <c r="H56" s="4"/>
      <c r="I56" s="4">
        <v>-293</v>
      </c>
      <c r="J56" s="4">
        <v>-214</v>
      </c>
      <c r="K56" s="4">
        <f>-398-J56</f>
        <v>-184</v>
      </c>
      <c r="L56" s="4">
        <f>-785-K56-J56</f>
        <v>-387</v>
      </c>
      <c r="M56" s="4">
        <f>+I56</f>
        <v>-293</v>
      </c>
      <c r="N56" s="4"/>
      <c r="Q56" s="4">
        <v>-2262</v>
      </c>
      <c r="R56" s="4">
        <v>-1450</v>
      </c>
      <c r="S56" s="4">
        <f>SUM(J56:M56)</f>
        <v>-1078</v>
      </c>
    </row>
    <row r="57" spans="2:19" s="2" customFormat="1" x14ac:dyDescent="0.2">
      <c r="B57" s="2" t="s">
        <v>54</v>
      </c>
      <c r="C57" s="4"/>
      <c r="D57" s="4"/>
      <c r="E57" s="4"/>
      <c r="F57" s="4"/>
      <c r="G57" s="4"/>
      <c r="H57" s="4"/>
      <c r="I57" s="4">
        <f>-646+447+7</f>
        <v>-192</v>
      </c>
      <c r="J57" s="4">
        <f>-1452+463</f>
        <v>-989</v>
      </c>
      <c r="K57" s="4">
        <f>-2842+1178-J57+62</f>
        <v>-613</v>
      </c>
      <c r="L57" s="4">
        <f>-4156+1895+70-K57-J57</f>
        <v>-589</v>
      </c>
      <c r="M57" s="4"/>
      <c r="N57" s="4"/>
      <c r="Q57" s="4"/>
      <c r="R57" s="4"/>
      <c r="S57" s="4"/>
    </row>
    <row r="58" spans="2:19" s="2" customFormat="1" x14ac:dyDescent="0.2">
      <c r="B58" s="2" t="s">
        <v>55</v>
      </c>
      <c r="C58" s="4"/>
      <c r="D58" s="4"/>
      <c r="E58" s="4"/>
      <c r="F58" s="4"/>
      <c r="G58" s="4"/>
      <c r="H58" s="4"/>
      <c r="I58" s="4">
        <v>-128</v>
      </c>
      <c r="J58" s="4">
        <v>-60</v>
      </c>
      <c r="K58" s="4">
        <f>-165-J58</f>
        <v>-105</v>
      </c>
      <c r="L58" s="4">
        <f>-234-K58-J58</f>
        <v>-69</v>
      </c>
      <c r="M58" s="4"/>
      <c r="N58" s="4"/>
      <c r="Q58" s="4"/>
      <c r="R58" s="4"/>
      <c r="S58" s="4"/>
    </row>
    <row r="59" spans="2:19" s="2" customFormat="1" x14ac:dyDescent="0.2">
      <c r="B59" s="2" t="s">
        <v>56</v>
      </c>
      <c r="C59" s="4"/>
      <c r="D59" s="4"/>
      <c r="E59" s="4"/>
      <c r="F59" s="4"/>
      <c r="G59" s="4"/>
      <c r="H59" s="4"/>
      <c r="I59" s="4">
        <v>6</v>
      </c>
      <c r="J59" s="4">
        <v>5</v>
      </c>
      <c r="K59" s="4">
        <f>8-J59</f>
        <v>3</v>
      </c>
      <c r="L59" s="4">
        <f>10-K59-J59</f>
        <v>2</v>
      </c>
      <c r="M59" s="4"/>
      <c r="N59" s="4"/>
      <c r="Q59" s="4"/>
      <c r="R59" s="4"/>
      <c r="S59" s="4"/>
    </row>
    <row r="60" spans="2:19" s="2" customFormat="1" x14ac:dyDescent="0.2">
      <c r="B60" s="2" t="s">
        <v>51</v>
      </c>
      <c r="C60" s="4"/>
      <c r="D60" s="4"/>
      <c r="E60" s="4"/>
      <c r="F60" s="4"/>
      <c r="G60" s="4"/>
      <c r="H60" s="4"/>
      <c r="I60" s="4">
        <f>1-12</f>
        <v>-11</v>
      </c>
      <c r="J60" s="4">
        <v>2</v>
      </c>
      <c r="K60" s="4">
        <f>-38-J60</f>
        <v>-40</v>
      </c>
      <c r="L60" s="4">
        <f>-36-K60-J60-2</f>
        <v>0</v>
      </c>
      <c r="M60" s="4"/>
      <c r="N60" s="4"/>
      <c r="Q60" s="4"/>
      <c r="R60" s="4"/>
      <c r="S60" s="4"/>
    </row>
    <row r="61" spans="2:19" s="2" customFormat="1" x14ac:dyDescent="0.2">
      <c r="B61" s="2" t="s">
        <v>57</v>
      </c>
      <c r="C61" s="4"/>
      <c r="D61" s="4"/>
      <c r="E61" s="4"/>
      <c r="F61" s="4"/>
      <c r="G61" s="4"/>
      <c r="H61" s="4"/>
      <c r="I61" s="4">
        <f>SUM(I56:I60)</f>
        <v>-618</v>
      </c>
      <c r="J61" s="4">
        <f>SUM(J56:J60)</f>
        <v>-1256</v>
      </c>
      <c r="K61" s="4">
        <f>SUM(K56:K60)</f>
        <v>-939</v>
      </c>
      <c r="L61" s="4">
        <f>SUM(L56:L60)</f>
        <v>-1043</v>
      </c>
      <c r="M61" s="4"/>
      <c r="N61" s="4"/>
      <c r="Q61" s="4"/>
      <c r="R61" s="4"/>
      <c r="S61" s="4"/>
    </row>
    <row r="62" spans="2:19" s="2" customFormat="1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Q62" s="4"/>
      <c r="R62" s="4"/>
      <c r="S62" s="4"/>
    </row>
    <row r="63" spans="2:19" s="2" customFormat="1" x14ac:dyDescent="0.2">
      <c r="B63" s="2" t="s">
        <v>4</v>
      </c>
      <c r="C63" s="4"/>
      <c r="D63" s="4"/>
      <c r="E63" s="4"/>
      <c r="F63" s="4"/>
      <c r="G63" s="4"/>
      <c r="H63" s="4"/>
      <c r="I63" s="4">
        <v>0</v>
      </c>
      <c r="J63" s="4">
        <v>0</v>
      </c>
      <c r="K63" s="4">
        <f>0-J63</f>
        <v>0</v>
      </c>
      <c r="L63" s="4">
        <f>-914-K63-J63</f>
        <v>-914</v>
      </c>
      <c r="M63" s="4"/>
      <c r="N63" s="4"/>
      <c r="Q63" s="4"/>
      <c r="R63" s="4"/>
      <c r="S63" s="4"/>
    </row>
    <row r="64" spans="2:19" s="2" customFormat="1" x14ac:dyDescent="0.2">
      <c r="B64" s="2" t="s">
        <v>60</v>
      </c>
      <c r="C64" s="4"/>
      <c r="D64" s="4"/>
      <c r="E64" s="4"/>
      <c r="F64" s="4"/>
      <c r="G64" s="4"/>
      <c r="H64" s="4"/>
      <c r="I64" s="4">
        <f>201-400</f>
        <v>-199</v>
      </c>
      <c r="J64" s="4">
        <v>-784</v>
      </c>
      <c r="K64" s="4">
        <f>195-J64-1515</f>
        <v>-536</v>
      </c>
      <c r="L64" s="4">
        <f>196-K64-J64-2818</f>
        <v>-1302</v>
      </c>
      <c r="M64" s="4"/>
      <c r="N64" s="4"/>
      <c r="Q64" s="4"/>
      <c r="R64" s="4"/>
      <c r="S64" s="4"/>
    </row>
    <row r="65" spans="2:33" s="2" customFormat="1" x14ac:dyDescent="0.2">
      <c r="B65" s="2" t="s">
        <v>59</v>
      </c>
      <c r="C65" s="4"/>
      <c r="D65" s="4"/>
      <c r="E65" s="4"/>
      <c r="F65" s="4"/>
      <c r="G65" s="4"/>
      <c r="H65" s="4"/>
      <c r="I65" s="4">
        <v>-893</v>
      </c>
      <c r="J65" s="4">
        <v>-895</v>
      </c>
      <c r="K65" s="4">
        <f>-1790-J65</f>
        <v>-895</v>
      </c>
      <c r="L65" s="4">
        <f>-2739-K65-J65</f>
        <v>-949</v>
      </c>
      <c r="M65" s="4"/>
      <c r="N65" s="4"/>
      <c r="Q65" s="4"/>
      <c r="R65" s="4"/>
      <c r="S65" s="4"/>
    </row>
    <row r="66" spans="2:33" s="2" customFormat="1" x14ac:dyDescent="0.2">
      <c r="B66" s="2" t="s">
        <v>58</v>
      </c>
      <c r="C66" s="4"/>
      <c r="D66" s="4"/>
      <c r="E66" s="4"/>
      <c r="F66" s="4"/>
      <c r="G66" s="4"/>
      <c r="H66" s="4"/>
      <c r="I66" s="4">
        <v>-22</v>
      </c>
      <c r="J66" s="4">
        <v>-370</v>
      </c>
      <c r="K66" s="4">
        <f>-515-J66</f>
        <v>-145</v>
      </c>
      <c r="L66" s="4">
        <f>-797-K66-J66</f>
        <v>-282</v>
      </c>
      <c r="M66" s="4"/>
      <c r="N66" s="4"/>
      <c r="Q66" s="4"/>
      <c r="R66" s="4"/>
      <c r="S66" s="4"/>
    </row>
    <row r="67" spans="2:33" s="2" customFormat="1" x14ac:dyDescent="0.2">
      <c r="B67" s="2" t="s">
        <v>51</v>
      </c>
      <c r="C67" s="4"/>
      <c r="D67" s="4"/>
      <c r="E67" s="4"/>
      <c r="F67" s="4"/>
      <c r="G67" s="4"/>
      <c r="H67" s="4"/>
      <c r="I67" s="4">
        <v>-3</v>
      </c>
      <c r="J67" s="4">
        <v>8</v>
      </c>
      <c r="K67" s="4">
        <f>4-J67</f>
        <v>-4</v>
      </c>
      <c r="L67" s="4">
        <f>-17+19-K67-J67</f>
        <v>-2</v>
      </c>
      <c r="M67" s="4"/>
      <c r="N67" s="4"/>
      <c r="Q67" s="4"/>
      <c r="R67" s="4"/>
      <c r="S67" s="4"/>
    </row>
    <row r="68" spans="2:33" s="2" customFormat="1" x14ac:dyDescent="0.2">
      <c r="B68" s="2" t="s">
        <v>63</v>
      </c>
      <c r="C68" s="4"/>
      <c r="D68" s="4"/>
      <c r="E68" s="4"/>
      <c r="F68" s="4"/>
      <c r="G68" s="4"/>
      <c r="H68" s="4"/>
      <c r="I68" s="4">
        <f>SUM(I63:I67)</f>
        <v>-1117</v>
      </c>
      <c r="J68" s="4">
        <f>SUM(J63:J67)</f>
        <v>-2041</v>
      </c>
      <c r="K68" s="4">
        <f>SUM(K63:K67)</f>
        <v>-1580</v>
      </c>
      <c r="L68" s="4">
        <f>SUM(L63:L67)</f>
        <v>-3449</v>
      </c>
      <c r="M68" s="4"/>
      <c r="N68" s="4"/>
      <c r="Q68" s="4"/>
      <c r="R68" s="4"/>
      <c r="S68" s="4"/>
    </row>
    <row r="69" spans="2:33" s="2" customFormat="1" x14ac:dyDescent="0.2">
      <c r="B69" s="2" t="s">
        <v>62</v>
      </c>
      <c r="C69" s="4"/>
      <c r="D69" s="4"/>
      <c r="E69" s="4"/>
      <c r="F69" s="4"/>
      <c r="G69" s="4"/>
      <c r="H69" s="4"/>
      <c r="I69" s="4">
        <v>5</v>
      </c>
      <c r="J69" s="4">
        <v>15</v>
      </c>
      <c r="K69" s="4">
        <f>5-J69</f>
        <v>-10</v>
      </c>
      <c r="L69" s="4">
        <f>-4-K69-J69</f>
        <v>-9</v>
      </c>
      <c r="M69" s="4"/>
      <c r="N69" s="4"/>
      <c r="Q69" s="4"/>
      <c r="R69" s="4"/>
      <c r="S69" s="4"/>
    </row>
    <row r="70" spans="2:33" s="2" customFormat="1" x14ac:dyDescent="0.2">
      <c r="B70" s="2" t="s">
        <v>61</v>
      </c>
      <c r="C70" s="4"/>
      <c r="D70" s="4"/>
      <c r="E70" s="4"/>
      <c r="F70" s="4"/>
      <c r="G70" s="4"/>
      <c r="H70" s="4"/>
      <c r="I70" s="4">
        <f>+I69+I68+I61+I54</f>
        <v>2350</v>
      </c>
      <c r="J70" s="4">
        <f>+J69+J68+J61+J54</f>
        <v>-333</v>
      </c>
      <c r="K70" s="4">
        <f>+K69+K68+K61+K54</f>
        <v>1025</v>
      </c>
      <c r="L70" s="4">
        <f>+L69+L68+L61+L54</f>
        <v>-1449</v>
      </c>
      <c r="M70" s="4"/>
      <c r="N70" s="4"/>
      <c r="Q70" s="4"/>
      <c r="R70" s="4"/>
      <c r="S70" s="4"/>
    </row>
    <row r="72" spans="2:33" x14ac:dyDescent="0.2">
      <c r="B72" s="2" t="s">
        <v>82</v>
      </c>
      <c r="I72" s="4">
        <f>+I54+I56</f>
        <v>3787</v>
      </c>
      <c r="J72" s="4">
        <f>+J54+J56</f>
        <v>2735</v>
      </c>
      <c r="K72" s="4">
        <f>+K54+K56</f>
        <v>3370</v>
      </c>
      <c r="L72" s="4">
        <f>+L54+L56</f>
        <v>2665</v>
      </c>
      <c r="M72" s="4">
        <f>+I72</f>
        <v>3787</v>
      </c>
      <c r="Q72" s="4">
        <f>+Q54+Q56</f>
        <v>6834</v>
      </c>
      <c r="R72" s="4">
        <f>+R54+R56</f>
        <v>9849</v>
      </c>
      <c r="S72" s="4">
        <f>SUM(J72:M72)</f>
        <v>12557</v>
      </c>
      <c r="T72" s="2">
        <f>+T15</f>
        <v>9235.3720600000033</v>
      </c>
      <c r="U72" s="2">
        <f t="shared" ref="U72:AD72" si="27">+U15</f>
        <v>10383.400592550001</v>
      </c>
      <c r="V72" s="2">
        <f t="shared" si="27"/>
        <v>11623.901909133378</v>
      </c>
      <c r="W72" s="2">
        <f t="shared" si="27"/>
        <v>12963.108287849547</v>
      </c>
      <c r="X72" s="2">
        <f t="shared" si="27"/>
        <v>14407.634349980217</v>
      </c>
      <c r="Y72" s="2">
        <f t="shared" si="27"/>
        <v>15964.499230385249</v>
      </c>
      <c r="Z72" s="2">
        <f t="shared" si="27"/>
        <v>17641.149987125787</v>
      </c>
      <c r="AA72" s="2">
        <f t="shared" si="27"/>
        <v>19445.486317849834</v>
      </c>
      <c r="AB72" s="2">
        <f t="shared" si="27"/>
        <v>21385.88665408978</v>
      </c>
      <c r="AC72" s="2">
        <f t="shared" si="27"/>
        <v>23471.235708425989</v>
      </c>
      <c r="AD72" s="2">
        <f t="shared" si="27"/>
        <v>25710.953553476247</v>
      </c>
    </row>
    <row r="75" spans="2:33" x14ac:dyDescent="0.2">
      <c r="B75" t="s">
        <v>69</v>
      </c>
      <c r="S75" s="4">
        <v>-670.84000000000015</v>
      </c>
      <c r="T75" s="2">
        <v>3000</v>
      </c>
      <c r="U75" s="2">
        <v>4000</v>
      </c>
      <c r="V75" s="2">
        <v>5000</v>
      </c>
      <c r="W75" s="2">
        <v>6000</v>
      </c>
      <c r="X75" s="2">
        <f>+W75*1.01</f>
        <v>6060</v>
      </c>
      <c r="Y75" s="2">
        <f t="shared" ref="Y75:AD75" si="28">+X75*1.01</f>
        <v>6120.6</v>
      </c>
      <c r="Z75" s="2">
        <f t="shared" si="28"/>
        <v>6181.8060000000005</v>
      </c>
      <c r="AA75" s="2">
        <f t="shared" si="28"/>
        <v>6243.624060000001</v>
      </c>
      <c r="AB75" s="2">
        <f t="shared" si="28"/>
        <v>6306.060300600001</v>
      </c>
      <c r="AC75" s="2">
        <f t="shared" si="28"/>
        <v>6369.1209036060009</v>
      </c>
      <c r="AD75" s="2">
        <f t="shared" si="28"/>
        <v>6432.812112642061</v>
      </c>
      <c r="AF75" t="s">
        <v>86</v>
      </c>
      <c r="AG75" s="10">
        <v>-0.01</v>
      </c>
    </row>
    <row r="76" spans="2:33" x14ac:dyDescent="0.2">
      <c r="B76" t="s">
        <v>70</v>
      </c>
      <c r="S76" s="4">
        <f>+S75-10000</f>
        <v>-10670.84</v>
      </c>
      <c r="T76" s="4">
        <f>+T75-8000</f>
        <v>-5000</v>
      </c>
      <c r="U76" s="2">
        <f>+U75-6000</f>
        <v>-2000</v>
      </c>
      <c r="V76" s="2">
        <f>+V75-4000</f>
        <v>1000</v>
      </c>
      <c r="W76" s="2">
        <f>+W75-2000</f>
        <v>4000</v>
      </c>
    </row>
    <row r="78" spans="2:33" x14ac:dyDescent="0.2">
      <c r="S78" s="4">
        <f>+S76</f>
        <v>-10670.84</v>
      </c>
      <c r="T78" s="2">
        <f>+T76</f>
        <v>-5000</v>
      </c>
      <c r="U78" s="2">
        <f>+U76</f>
        <v>-2000</v>
      </c>
      <c r="V78" s="2">
        <f>+V76</f>
        <v>1000</v>
      </c>
      <c r="W78" s="2">
        <f>+W76</f>
        <v>4000</v>
      </c>
      <c r="X78" s="2">
        <f>+X75</f>
        <v>6060</v>
      </c>
      <c r="Y78" s="2">
        <f t="shared" ref="Y78:AD78" si="29">+Y75</f>
        <v>6120.6</v>
      </c>
      <c r="Z78" s="2">
        <f t="shared" si="29"/>
        <v>6181.8060000000005</v>
      </c>
      <c r="AA78" s="2">
        <f t="shared" si="29"/>
        <v>6243.624060000001</v>
      </c>
      <c r="AB78" s="2">
        <f t="shared" si="29"/>
        <v>6306.060300600001</v>
      </c>
      <c r="AC78" s="2">
        <f t="shared" si="29"/>
        <v>6369.1209036060009</v>
      </c>
      <c r="AD78" s="2">
        <f t="shared" si="29"/>
        <v>6432.812112642061</v>
      </c>
    </row>
    <row r="80" spans="2:33" x14ac:dyDescent="0.2">
      <c r="B80" t="s">
        <v>83</v>
      </c>
      <c r="S80" s="4">
        <f>+S78+S72</f>
        <v>1886.1599999999999</v>
      </c>
      <c r="T80" s="4">
        <f>+T78+T72</f>
        <v>4235.3720600000033</v>
      </c>
      <c r="U80" s="4">
        <f t="shared" ref="U80:AD80" si="30">+U78+U72</f>
        <v>8383.4005925500005</v>
      </c>
      <c r="V80" s="4">
        <f t="shared" si="30"/>
        <v>12623.901909133378</v>
      </c>
      <c r="W80" s="4">
        <f t="shared" si="30"/>
        <v>16963.108287849547</v>
      </c>
      <c r="X80" s="4">
        <f t="shared" si="30"/>
        <v>20467.634349980217</v>
      </c>
      <c r="Y80" s="4">
        <f t="shared" si="30"/>
        <v>22085.099230385247</v>
      </c>
      <c r="Z80" s="4">
        <f t="shared" si="30"/>
        <v>23822.955987125788</v>
      </c>
      <c r="AA80" s="4">
        <f t="shared" si="30"/>
        <v>25689.110377849836</v>
      </c>
      <c r="AB80" s="4">
        <f t="shared" si="30"/>
        <v>27691.946954689782</v>
      </c>
      <c r="AC80" s="4">
        <f t="shared" si="30"/>
        <v>29840.356612031988</v>
      </c>
      <c r="AD80" s="4">
        <f t="shared" si="30"/>
        <v>32143.765666118306</v>
      </c>
    </row>
    <row r="81" spans="2:79" x14ac:dyDescent="0.2">
      <c r="B81" t="s">
        <v>87</v>
      </c>
      <c r="S81" s="4">
        <f>+S80+2000</f>
        <v>3886.16</v>
      </c>
      <c r="T81" s="2">
        <f>+T80+4000</f>
        <v>8235.3720600000033</v>
      </c>
      <c r="U81" s="2">
        <f>+U80+5000</f>
        <v>13383.400592550001</v>
      </c>
      <c r="V81" s="2">
        <f>+V80</f>
        <v>12623.901909133378</v>
      </c>
      <c r="W81" s="2">
        <f t="shared" ref="W81:AD81" si="31">+W80</f>
        <v>16963.108287849547</v>
      </c>
      <c r="X81" s="2">
        <f t="shared" si="31"/>
        <v>20467.634349980217</v>
      </c>
      <c r="Y81" s="2">
        <f t="shared" si="31"/>
        <v>22085.099230385247</v>
      </c>
      <c r="Z81" s="2">
        <f t="shared" si="31"/>
        <v>23822.955987125788</v>
      </c>
      <c r="AA81" s="2">
        <f t="shared" si="31"/>
        <v>25689.110377849836</v>
      </c>
      <c r="AB81" s="2">
        <f t="shared" si="31"/>
        <v>27691.946954689782</v>
      </c>
      <c r="AC81" s="2">
        <f t="shared" si="31"/>
        <v>29840.356612031988</v>
      </c>
      <c r="AD81" s="2">
        <f t="shared" si="31"/>
        <v>32143.765666118306</v>
      </c>
      <c r="AE81" s="2">
        <f>+AD81*(1+$AG$75)</f>
        <v>31822.328009457124</v>
      </c>
      <c r="AF81" s="2">
        <f t="shared" ref="AF81:CA81" si="32">+AE81*(1+$AG$75)</f>
        <v>31504.104729362552</v>
      </c>
      <c r="AG81" s="2">
        <f t="shared" si="32"/>
        <v>31189.063682068925</v>
      </c>
      <c r="AH81" s="2">
        <f t="shared" si="32"/>
        <v>30877.173045248237</v>
      </c>
      <c r="AI81" s="2">
        <f t="shared" si="32"/>
        <v>30568.401314795756</v>
      </c>
      <c r="AJ81" s="2">
        <f t="shared" si="32"/>
        <v>30262.717301647797</v>
      </c>
      <c r="AK81" s="2">
        <f t="shared" si="32"/>
        <v>29960.09012863132</v>
      </c>
      <c r="AL81" s="2">
        <f t="shared" si="32"/>
        <v>29660.489227345006</v>
      </c>
      <c r="AM81" s="2">
        <f t="shared" si="32"/>
        <v>29363.884335071554</v>
      </c>
      <c r="AN81" s="2">
        <f t="shared" si="32"/>
        <v>29070.245491720838</v>
      </c>
      <c r="AO81" s="2">
        <f t="shared" si="32"/>
        <v>28779.543036803629</v>
      </c>
      <c r="AP81" s="2">
        <f t="shared" si="32"/>
        <v>28491.747606435591</v>
      </c>
      <c r="AQ81" s="2">
        <f t="shared" si="32"/>
        <v>28206.830130371236</v>
      </c>
      <c r="AR81" s="2">
        <f t="shared" si="32"/>
        <v>27924.761829067524</v>
      </c>
      <c r="AS81" s="2">
        <f t="shared" si="32"/>
        <v>27645.514210776848</v>
      </c>
      <c r="AT81" s="2">
        <f t="shared" si="32"/>
        <v>27369.059068669078</v>
      </c>
      <c r="AU81" s="2">
        <f t="shared" si="32"/>
        <v>27095.368477982385</v>
      </c>
      <c r="AV81" s="2">
        <f t="shared" si="32"/>
        <v>26824.414793202563</v>
      </c>
      <c r="AW81" s="2">
        <f t="shared" si="32"/>
        <v>26556.170645270537</v>
      </c>
      <c r="AX81" s="2">
        <f t="shared" si="32"/>
        <v>26290.60893881783</v>
      </c>
      <c r="AY81" s="2">
        <f t="shared" si="32"/>
        <v>26027.70284942965</v>
      </c>
      <c r="AZ81" s="2">
        <f t="shared" si="32"/>
        <v>25767.425820935354</v>
      </c>
      <c r="BA81" s="2">
        <f t="shared" si="32"/>
        <v>25509.751562726</v>
      </c>
      <c r="BB81" s="2">
        <f t="shared" si="32"/>
        <v>25254.654047098738</v>
      </c>
      <c r="BC81" s="2">
        <f t="shared" si="32"/>
        <v>25002.107506627752</v>
      </c>
      <c r="BD81" s="2">
        <f t="shared" si="32"/>
        <v>24752.086431561474</v>
      </c>
      <c r="BE81" s="2">
        <f t="shared" si="32"/>
        <v>24504.56556724586</v>
      </c>
      <c r="BF81" s="2">
        <f t="shared" si="32"/>
        <v>24259.519911573399</v>
      </c>
      <c r="BG81" s="2">
        <f t="shared" si="32"/>
        <v>24016.924712457665</v>
      </c>
      <c r="BH81" s="2">
        <f t="shared" si="32"/>
        <v>23776.755465333088</v>
      </c>
      <c r="BI81" s="2">
        <f t="shared" si="32"/>
        <v>23538.987910679756</v>
      </c>
      <c r="BJ81" s="2">
        <f t="shared" si="32"/>
        <v>23303.598031572958</v>
      </c>
      <c r="BK81" s="2">
        <f t="shared" si="32"/>
        <v>23070.562051257228</v>
      </c>
      <c r="BL81" s="2">
        <f t="shared" si="32"/>
        <v>22839.856430744654</v>
      </c>
      <c r="BM81" s="2">
        <f t="shared" si="32"/>
        <v>22611.457866437206</v>
      </c>
      <c r="BN81" s="2">
        <f t="shared" si="32"/>
        <v>22385.343287772834</v>
      </c>
      <c r="BO81" s="2">
        <f t="shared" si="32"/>
        <v>22161.489854895106</v>
      </c>
      <c r="BP81" s="2">
        <f t="shared" si="32"/>
        <v>21939.874956346153</v>
      </c>
      <c r="BQ81" s="2">
        <f t="shared" si="32"/>
        <v>21720.476206782692</v>
      </c>
      <c r="BR81" s="2">
        <f t="shared" si="32"/>
        <v>21503.271444714865</v>
      </c>
      <c r="BS81" s="2">
        <f t="shared" si="32"/>
        <v>21288.238730267716</v>
      </c>
      <c r="BT81" s="2">
        <f t="shared" si="32"/>
        <v>21075.356342965038</v>
      </c>
      <c r="BU81" s="2">
        <f t="shared" si="32"/>
        <v>20864.602779535388</v>
      </c>
      <c r="BV81" s="2">
        <f t="shared" si="32"/>
        <v>20655.956751740032</v>
      </c>
      <c r="BW81" s="2">
        <f t="shared" si="32"/>
        <v>20449.397184222631</v>
      </c>
      <c r="BX81" s="2">
        <f t="shared" si="32"/>
        <v>20244.903212380406</v>
      </c>
      <c r="BY81" s="2">
        <f t="shared" si="32"/>
        <v>20042.454180256602</v>
      </c>
      <c r="BZ81" s="2">
        <f t="shared" si="32"/>
        <v>19842.029638454034</v>
      </c>
      <c r="CA81" s="2">
        <f t="shared" si="32"/>
        <v>19643.609342069492</v>
      </c>
    </row>
    <row r="82" spans="2:79" x14ac:dyDescent="0.2">
      <c r="B82" t="s">
        <v>88</v>
      </c>
      <c r="S82" s="4">
        <f>+S80+3000</f>
        <v>4886.16</v>
      </c>
      <c r="T82" s="2">
        <f>+T80+6000</f>
        <v>10235.372060000003</v>
      </c>
      <c r="U82" s="2">
        <f>+U80+9000</f>
        <v>17383.400592550002</v>
      </c>
      <c r="V82" s="2">
        <f>+V80+12000</f>
        <v>24623.901909133376</v>
      </c>
      <c r="W82" s="2">
        <f>+W80</f>
        <v>16963.108287849547</v>
      </c>
      <c r="X82" s="2">
        <f t="shared" ref="X82:AD82" si="33">+X80</f>
        <v>20467.634349980217</v>
      </c>
      <c r="Y82" s="2">
        <f t="shared" si="33"/>
        <v>22085.099230385247</v>
      </c>
      <c r="Z82" s="2">
        <f t="shared" si="33"/>
        <v>23822.955987125788</v>
      </c>
      <c r="AA82" s="2">
        <f t="shared" si="33"/>
        <v>25689.110377849836</v>
      </c>
      <c r="AB82" s="2">
        <f t="shared" si="33"/>
        <v>27691.946954689782</v>
      </c>
      <c r="AC82" s="2">
        <f t="shared" si="33"/>
        <v>29840.356612031988</v>
      </c>
      <c r="AD82" s="2">
        <f t="shared" si="33"/>
        <v>32143.765666118306</v>
      </c>
      <c r="AE82" s="2">
        <f t="shared" ref="AE82:CA82" si="34">+AD82*(1+$AG$75)</f>
        <v>31822.328009457124</v>
      </c>
      <c r="AF82" s="2">
        <f t="shared" si="34"/>
        <v>31504.104729362552</v>
      </c>
      <c r="AG82" s="2">
        <f t="shared" si="34"/>
        <v>31189.063682068925</v>
      </c>
      <c r="AH82" s="2">
        <f t="shared" si="34"/>
        <v>30877.173045248237</v>
      </c>
      <c r="AI82" s="2">
        <f t="shared" si="34"/>
        <v>30568.401314795756</v>
      </c>
      <c r="AJ82" s="2">
        <f t="shared" si="34"/>
        <v>30262.717301647797</v>
      </c>
      <c r="AK82" s="2">
        <f t="shared" si="34"/>
        <v>29960.09012863132</v>
      </c>
      <c r="AL82" s="2">
        <f t="shared" si="34"/>
        <v>29660.489227345006</v>
      </c>
      <c r="AM82" s="2">
        <f t="shared" si="34"/>
        <v>29363.884335071554</v>
      </c>
      <c r="AN82" s="2">
        <f t="shared" si="34"/>
        <v>29070.245491720838</v>
      </c>
      <c r="AO82" s="2">
        <f t="shared" si="34"/>
        <v>28779.543036803629</v>
      </c>
      <c r="AP82" s="2">
        <f t="shared" si="34"/>
        <v>28491.747606435591</v>
      </c>
      <c r="AQ82" s="2">
        <f t="shared" si="34"/>
        <v>28206.830130371236</v>
      </c>
      <c r="AR82" s="2">
        <f t="shared" si="34"/>
        <v>27924.761829067524</v>
      </c>
      <c r="AS82" s="2">
        <f t="shared" si="34"/>
        <v>27645.514210776848</v>
      </c>
      <c r="AT82" s="2">
        <f t="shared" si="34"/>
        <v>27369.059068669078</v>
      </c>
      <c r="AU82" s="2">
        <f t="shared" si="34"/>
        <v>27095.368477982385</v>
      </c>
      <c r="AV82" s="2">
        <f t="shared" si="34"/>
        <v>26824.414793202563</v>
      </c>
      <c r="AW82" s="2">
        <f t="shared" si="34"/>
        <v>26556.170645270537</v>
      </c>
      <c r="AX82" s="2">
        <f t="shared" si="34"/>
        <v>26290.60893881783</v>
      </c>
      <c r="AY82" s="2">
        <f t="shared" si="34"/>
        <v>26027.70284942965</v>
      </c>
      <c r="AZ82" s="2">
        <f t="shared" si="34"/>
        <v>25767.425820935354</v>
      </c>
      <c r="BA82" s="2">
        <f t="shared" si="34"/>
        <v>25509.751562726</v>
      </c>
      <c r="BB82" s="2">
        <f t="shared" si="34"/>
        <v>25254.654047098738</v>
      </c>
      <c r="BC82" s="2">
        <f t="shared" si="34"/>
        <v>25002.107506627752</v>
      </c>
      <c r="BD82" s="2">
        <f t="shared" si="34"/>
        <v>24752.086431561474</v>
      </c>
      <c r="BE82" s="2">
        <f t="shared" si="34"/>
        <v>24504.56556724586</v>
      </c>
      <c r="BF82" s="2">
        <f t="shared" si="34"/>
        <v>24259.519911573399</v>
      </c>
      <c r="BG82" s="2">
        <f t="shared" si="34"/>
        <v>24016.924712457665</v>
      </c>
      <c r="BH82" s="2">
        <f t="shared" si="34"/>
        <v>23776.755465333088</v>
      </c>
      <c r="BI82" s="2">
        <f t="shared" si="34"/>
        <v>23538.987910679756</v>
      </c>
      <c r="BJ82" s="2">
        <f t="shared" si="34"/>
        <v>23303.598031572958</v>
      </c>
      <c r="BK82" s="2">
        <f t="shared" si="34"/>
        <v>23070.562051257228</v>
      </c>
      <c r="BL82" s="2">
        <f t="shared" si="34"/>
        <v>22839.856430744654</v>
      </c>
      <c r="BM82" s="2">
        <f t="shared" si="34"/>
        <v>22611.457866437206</v>
      </c>
      <c r="BN82" s="2">
        <f t="shared" si="34"/>
        <v>22385.343287772834</v>
      </c>
      <c r="BO82" s="2">
        <f t="shared" si="34"/>
        <v>22161.489854895106</v>
      </c>
      <c r="BP82" s="2">
        <f t="shared" si="34"/>
        <v>21939.874956346153</v>
      </c>
      <c r="BQ82" s="2">
        <f t="shared" si="34"/>
        <v>21720.476206782692</v>
      </c>
      <c r="BR82" s="2">
        <f t="shared" si="34"/>
        <v>21503.271444714865</v>
      </c>
      <c r="BS82" s="2">
        <f t="shared" si="34"/>
        <v>21288.238730267716</v>
      </c>
      <c r="BT82" s="2">
        <f t="shared" si="34"/>
        <v>21075.356342965038</v>
      </c>
      <c r="BU82" s="2">
        <f t="shared" si="34"/>
        <v>20864.602779535388</v>
      </c>
      <c r="BV82" s="2">
        <f t="shared" si="34"/>
        <v>20655.956751740032</v>
      </c>
      <c r="BW82" s="2">
        <f t="shared" si="34"/>
        <v>20449.397184222631</v>
      </c>
      <c r="BX82" s="2">
        <f t="shared" si="34"/>
        <v>20244.903212380406</v>
      </c>
      <c r="BY82" s="2">
        <f t="shared" si="34"/>
        <v>20042.454180256602</v>
      </c>
      <c r="BZ82" s="2">
        <f t="shared" si="34"/>
        <v>19842.029638454034</v>
      </c>
      <c r="CA82" s="2">
        <f t="shared" si="34"/>
        <v>19643.609342069492</v>
      </c>
    </row>
    <row r="83" spans="2:79" x14ac:dyDescent="0.2">
      <c r="B83" t="s">
        <v>89</v>
      </c>
      <c r="T83" s="2">
        <v>-4500</v>
      </c>
      <c r="U83" s="2">
        <f>+T87*0.06</f>
        <v>-5597.4</v>
      </c>
      <c r="V83" s="2">
        <f>+U87*0.06</f>
        <v>-4890.2399644469997</v>
      </c>
      <c r="W83" s="2">
        <f>+V87*0.06</f>
        <v>-3412.8058498989972</v>
      </c>
      <c r="X83" s="2">
        <f>+W87*0.06</f>
        <v>-2395.0193526280241</v>
      </c>
      <c r="Y83" s="2">
        <f>+X87*0.06</f>
        <v>-1166.9612916292112</v>
      </c>
      <c r="Z83" s="2">
        <f t="shared" ref="Z83:AD83" si="35">+Y87*0.06</f>
        <v>158.14466219390349</v>
      </c>
      <c r="AA83" s="2">
        <f t="shared" si="35"/>
        <v>1587.5220214214507</v>
      </c>
      <c r="AB83" s="2">
        <f t="shared" si="35"/>
        <v>3128.8686440924407</v>
      </c>
      <c r="AC83" s="2">
        <f t="shared" si="35"/>
        <v>4790.3854613738276</v>
      </c>
      <c r="AD83" s="2">
        <f t="shared" si="35"/>
        <v>6580.8068580957461</v>
      </c>
    </row>
    <row r="84" spans="2:79" x14ac:dyDescent="0.2">
      <c r="B84" t="s">
        <v>26</v>
      </c>
      <c r="S84" s="4">
        <f>+S82-S83</f>
        <v>4886.16</v>
      </c>
      <c r="T84" s="2">
        <f t="shared" ref="T84:Y84" si="36">+T82+T83</f>
        <v>5735.3720600000033</v>
      </c>
      <c r="U84" s="2">
        <f t="shared" si="36"/>
        <v>11786.000592550003</v>
      </c>
      <c r="V84" s="2">
        <f t="shared" si="36"/>
        <v>19733.661944686377</v>
      </c>
      <c r="W84" s="2">
        <f t="shared" si="36"/>
        <v>13550.30243795055</v>
      </c>
      <c r="X84" s="2">
        <f t="shared" si="36"/>
        <v>18072.614997352193</v>
      </c>
      <c r="Y84" s="2">
        <f t="shared" si="36"/>
        <v>20918.137938756037</v>
      </c>
      <c r="Z84" s="2">
        <f t="shared" ref="Z84:AD84" si="37">+Z82+Z83</f>
        <v>23981.100649319691</v>
      </c>
      <c r="AA84" s="2">
        <f t="shared" si="37"/>
        <v>27276.632399271286</v>
      </c>
      <c r="AB84" s="2">
        <f t="shared" si="37"/>
        <v>30820.815598782221</v>
      </c>
      <c r="AC84" s="2">
        <f t="shared" si="37"/>
        <v>34630.742073405818</v>
      </c>
      <c r="AD84" s="2">
        <f t="shared" si="37"/>
        <v>38724.572524214054</v>
      </c>
    </row>
    <row r="85" spans="2:79" x14ac:dyDescent="0.2">
      <c r="B85" t="s">
        <v>1</v>
      </c>
      <c r="S85" s="4">
        <v>1114</v>
      </c>
      <c r="T85" s="2">
        <f>+S85+648</f>
        <v>1762</v>
      </c>
      <c r="U85" s="2">
        <f>+T85</f>
        <v>1762</v>
      </c>
      <c r="V85" s="2">
        <f t="shared" ref="V85:AD85" si="38">+U85</f>
        <v>1762</v>
      </c>
      <c r="W85" s="2">
        <f t="shared" si="38"/>
        <v>1762</v>
      </c>
      <c r="X85" s="2">
        <f t="shared" si="38"/>
        <v>1762</v>
      </c>
      <c r="Y85" s="2">
        <f t="shared" si="38"/>
        <v>1762</v>
      </c>
      <c r="Z85" s="2">
        <f t="shared" si="38"/>
        <v>1762</v>
      </c>
      <c r="AA85" s="2">
        <f t="shared" si="38"/>
        <v>1762</v>
      </c>
      <c r="AB85" s="2">
        <f t="shared" si="38"/>
        <v>1762</v>
      </c>
      <c r="AC85" s="2">
        <f t="shared" si="38"/>
        <v>1762</v>
      </c>
      <c r="AD85" s="2">
        <f t="shared" si="38"/>
        <v>1762</v>
      </c>
    </row>
    <row r="86" spans="2:79" x14ac:dyDescent="0.2">
      <c r="B86" t="s">
        <v>27</v>
      </c>
      <c r="S86" s="7">
        <f t="shared" ref="S86:AD86" si="39">+S84/S85</f>
        <v>4.3861400359066423</v>
      </c>
      <c r="T86" s="7">
        <f t="shared" si="39"/>
        <v>3.2550352213393889</v>
      </c>
      <c r="U86" s="7">
        <f t="shared" si="39"/>
        <v>6.6889901206299678</v>
      </c>
      <c r="V86" s="7">
        <f t="shared" si="39"/>
        <v>11.199581126382734</v>
      </c>
      <c r="W86" s="7">
        <f t="shared" si="39"/>
        <v>7.6902965028096197</v>
      </c>
      <c r="X86" s="7">
        <f t="shared" si="39"/>
        <v>10.256875707918384</v>
      </c>
      <c r="Y86" s="7">
        <f t="shared" si="39"/>
        <v>11.871814948215686</v>
      </c>
      <c r="Z86" s="7">
        <f t="shared" si="39"/>
        <v>13.610159278842049</v>
      </c>
      <c r="AA86" s="7">
        <f t="shared" si="39"/>
        <v>15.480495118769175</v>
      </c>
      <c r="AB86" s="7">
        <f t="shared" si="39"/>
        <v>17.491949829047797</v>
      </c>
      <c r="AC86" s="7">
        <f t="shared" si="39"/>
        <v>19.654223651195128</v>
      </c>
      <c r="AD86" s="7">
        <f t="shared" si="39"/>
        <v>21.977623453015923</v>
      </c>
    </row>
    <row r="87" spans="2:79" x14ac:dyDescent="0.2">
      <c r="B87" t="s">
        <v>3</v>
      </c>
      <c r="S87" s="4">
        <v>710</v>
      </c>
      <c r="T87" s="2">
        <f>+S87-94000</f>
        <v>-93290</v>
      </c>
      <c r="U87" s="2">
        <f>+T87+U84</f>
        <v>-81503.999407449999</v>
      </c>
      <c r="V87" s="2">
        <f t="shared" ref="V87:AD87" si="40">+U87+V82</f>
        <v>-56880.097498316623</v>
      </c>
      <c r="W87" s="2">
        <f t="shared" si="40"/>
        <v>-39916.989210467073</v>
      </c>
      <c r="X87" s="2">
        <f t="shared" si="40"/>
        <v>-19449.354860486856</v>
      </c>
      <c r="Y87" s="2">
        <f t="shared" si="40"/>
        <v>2635.7443698983916</v>
      </c>
      <c r="Z87" s="2">
        <f t="shared" si="40"/>
        <v>26458.70035702418</v>
      </c>
      <c r="AA87" s="2">
        <f t="shared" si="40"/>
        <v>52147.810734874016</v>
      </c>
      <c r="AB87" s="2">
        <f t="shared" si="40"/>
        <v>79839.75768956379</v>
      </c>
      <c r="AC87" s="2">
        <f t="shared" si="40"/>
        <v>109680.11430159578</v>
      </c>
      <c r="AD87" s="2">
        <f t="shared" si="40"/>
        <v>141823.87996771408</v>
      </c>
    </row>
    <row r="89" spans="2:79" x14ac:dyDescent="0.2">
      <c r="B89" t="s">
        <v>90</v>
      </c>
      <c r="S89" s="7"/>
      <c r="T89" s="11">
        <f>+T16</f>
        <v>8.1638648044198927</v>
      </c>
      <c r="U89" s="7">
        <f t="shared" ref="U89:AD89" si="41">+U16</f>
        <v>9.1786966563977899</v>
      </c>
      <c r="V89" s="7">
        <f t="shared" si="41"/>
        <v>10.27527240586376</v>
      </c>
      <c r="W89" s="7">
        <f t="shared" si="41"/>
        <v>11.459101248927777</v>
      </c>
      <c r="X89" s="7">
        <f t="shared" si="41"/>
        <v>12.736030364623396</v>
      </c>
      <c r="Y89" s="7">
        <f t="shared" si="41"/>
        <v>14.112264513047734</v>
      </c>
      <c r="Z89" s="7">
        <f t="shared" si="41"/>
        <v>15.594386728950973</v>
      </c>
      <c r="AA89" s="7">
        <f t="shared" si="41"/>
        <v>17.18938017047499</v>
      </c>
      <c r="AB89" s="7">
        <f t="shared" si="41"/>
        <v>18.904651185935716</v>
      </c>
      <c r="AC89" s="7">
        <f t="shared" si="41"/>
        <v>20.748053664906951</v>
      </c>
      <c r="AD89" s="7">
        <f t="shared" si="41"/>
        <v>22.727914743404419</v>
      </c>
    </row>
    <row r="90" spans="2:79" x14ac:dyDescent="0.2">
      <c r="B90" t="s">
        <v>91</v>
      </c>
      <c r="S90" s="7"/>
      <c r="T90" s="11">
        <f t="shared" ref="T90:AD90" si="42">+T86</f>
        <v>3.2550352213393889</v>
      </c>
      <c r="U90" s="7">
        <f t="shared" si="42"/>
        <v>6.6889901206299678</v>
      </c>
      <c r="V90" s="7">
        <f t="shared" si="42"/>
        <v>11.199581126382734</v>
      </c>
      <c r="W90" s="7">
        <f t="shared" si="42"/>
        <v>7.6902965028096197</v>
      </c>
      <c r="X90" s="7">
        <f t="shared" si="42"/>
        <v>10.256875707918384</v>
      </c>
      <c r="Y90" s="7">
        <f t="shared" si="42"/>
        <v>11.871814948215686</v>
      </c>
      <c r="Z90" s="7">
        <f t="shared" si="42"/>
        <v>13.610159278842049</v>
      </c>
      <c r="AA90" s="7">
        <f t="shared" si="42"/>
        <v>15.480495118769175</v>
      </c>
      <c r="AB90" s="7">
        <f t="shared" si="42"/>
        <v>17.491949829047797</v>
      </c>
      <c r="AC90" s="7">
        <f t="shared" si="42"/>
        <v>19.654223651195128</v>
      </c>
      <c r="AD90" s="7">
        <f t="shared" si="42"/>
        <v>21.977623453015923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2024-09-21T19:00:26Z</dcterms:created>
  <dcterms:modified xsi:type="dcterms:W3CDTF">2025-10-14T15:36:16Z</dcterms:modified>
</cp:coreProperties>
</file>