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66D40F9-4F9F-4611-BACC-DFF956ED2B08}" xr6:coauthVersionLast="47" xr6:coauthVersionMax="47" xr10:uidLastSave="{00000000-0000-0000-0000-000000000000}"/>
  <bookViews>
    <workbookView xWindow="1695" yWindow="4485" windowWidth="18075" windowHeight="16020" activeTab="1" xr2:uid="{7EAA9F4B-2180-43E9-BF31-83948DE28599}"/>
  </bookViews>
  <sheets>
    <sheet name="Main" sheetId="1" r:id="rId1"/>
    <sheet name="Model" sheetId="2" r:id="rId2"/>
    <sheet name="Crysvi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4" i="2" l="1"/>
  <c r="AA23" i="2"/>
  <c r="Z23" i="2"/>
  <c r="Y23" i="2"/>
  <c r="X23" i="2"/>
  <c r="Z21" i="2"/>
  <c r="X21" i="2"/>
  <c r="Z18" i="2"/>
  <c r="Y18" i="2"/>
  <c r="X18" i="2"/>
  <c r="Z17" i="2"/>
  <c r="Z19" i="2" s="1"/>
  <c r="Y17" i="2"/>
  <c r="X17" i="2"/>
  <c r="X19" i="2" s="1"/>
  <c r="X20" i="2" s="1"/>
  <c r="X22" i="2" s="1"/>
  <c r="X24" i="2" s="1"/>
  <c r="X25" i="2" s="1"/>
  <c r="Z15" i="2"/>
  <c r="Y15" i="2"/>
  <c r="X15" i="2"/>
  <c r="X26" i="2"/>
  <c r="Y26" i="2"/>
  <c r="Z26" i="2"/>
  <c r="Y19" i="2"/>
  <c r="AA17" i="2"/>
  <c r="AB17" i="2" s="1"/>
  <c r="AH9" i="2"/>
  <c r="AI9" i="2" s="1"/>
  <c r="AJ9" i="2" s="1"/>
  <c r="AK9" i="2" s="1"/>
  <c r="AG9" i="2"/>
  <c r="AB8" i="2"/>
  <c r="AC8" i="2" s="1"/>
  <c r="AD8" i="2" s="1"/>
  <c r="AE8" i="2" s="1"/>
  <c r="AF8" i="2" s="1"/>
  <c r="AG8" i="2" s="1"/>
  <c r="AH8" i="2" s="1"/>
  <c r="AI8" i="2" s="1"/>
  <c r="AJ8" i="2" s="1"/>
  <c r="AK8" i="2" s="1"/>
  <c r="AJ13" i="2"/>
  <c r="AI13" i="2"/>
  <c r="AH13" i="2"/>
  <c r="AG13" i="2"/>
  <c r="AF13" i="2"/>
  <c r="AE13" i="2"/>
  <c r="AD13" i="2"/>
  <c r="AC13" i="2"/>
  <c r="AB13" i="2"/>
  <c r="X10" i="2"/>
  <c r="X9" i="2"/>
  <c r="X8" i="2"/>
  <c r="X7" i="2"/>
  <c r="X6" i="2"/>
  <c r="X5" i="2"/>
  <c r="X4" i="2"/>
  <c r="X12" i="2" s="1"/>
  <c r="X13" i="2"/>
  <c r="AK13" i="2" s="1"/>
  <c r="X3" i="2"/>
  <c r="X11" i="2" s="1"/>
  <c r="X14" i="2" s="1"/>
  <c r="X16" i="2" s="1"/>
  <c r="Y10" i="2"/>
  <c r="Y9" i="2"/>
  <c r="Y8" i="2"/>
  <c r="Y7" i="2"/>
  <c r="Y6" i="2"/>
  <c r="Y5" i="2"/>
  <c r="Y4" i="2"/>
  <c r="Y13" i="2"/>
  <c r="Y12" i="2"/>
  <c r="Y3" i="2"/>
  <c r="Y11" i="2" s="1"/>
  <c r="Y14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A10" i="2"/>
  <c r="AA9" i="2"/>
  <c r="AA8" i="2"/>
  <c r="Z9" i="2"/>
  <c r="Z8" i="2"/>
  <c r="Z7" i="2"/>
  <c r="Z6" i="2"/>
  <c r="Z5" i="2"/>
  <c r="Z12" i="2" s="1"/>
  <c r="Z4" i="2"/>
  <c r="Z3" i="2"/>
  <c r="Z11" i="2" s="1"/>
  <c r="AA13" i="2"/>
  <c r="Z13" i="2"/>
  <c r="Z10" i="2"/>
  <c r="R18" i="2"/>
  <c r="Q18" i="2"/>
  <c r="P18" i="2"/>
  <c r="AA18" i="2" s="1"/>
  <c r="R17" i="2"/>
  <c r="Q17" i="2"/>
  <c r="Q19" i="2" s="1"/>
  <c r="P17" i="2"/>
  <c r="P19" i="2" s="1"/>
  <c r="P21" i="2"/>
  <c r="Q21" i="2" s="1"/>
  <c r="R21" i="2" s="1"/>
  <c r="P26" i="2"/>
  <c r="Q26" i="2" s="1"/>
  <c r="R26" i="2" s="1"/>
  <c r="P8" i="2"/>
  <c r="Q8" i="2" s="1"/>
  <c r="R8" i="2" s="1"/>
  <c r="P7" i="2"/>
  <c r="Q7" i="2" s="1"/>
  <c r="R7" i="2" s="1"/>
  <c r="P3" i="2"/>
  <c r="Q3" i="2" s="1"/>
  <c r="Q5" i="2"/>
  <c r="R5" i="2" s="1"/>
  <c r="P5" i="2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P4" i="2"/>
  <c r="Q4" i="2" s="1"/>
  <c r="P6" i="2"/>
  <c r="Q6" i="2" s="1"/>
  <c r="R6" i="2" s="1"/>
  <c r="O12" i="2"/>
  <c r="O11" i="2"/>
  <c r="N12" i="2"/>
  <c r="M12" i="2"/>
  <c r="N11" i="2"/>
  <c r="M11" i="2"/>
  <c r="O14" i="2"/>
  <c r="R19" i="2"/>
  <c r="O19" i="2"/>
  <c r="N19" i="2"/>
  <c r="M19" i="2"/>
  <c r="L5" i="1"/>
  <c r="C12" i="2"/>
  <c r="C11" i="2"/>
  <c r="C14" i="2" s="1"/>
  <c r="C16" i="2" s="1"/>
  <c r="D19" i="2"/>
  <c r="D12" i="2"/>
  <c r="D11" i="2"/>
  <c r="D14" i="2" s="1"/>
  <c r="E5" i="2"/>
  <c r="E12" i="2"/>
  <c r="E11" i="2"/>
  <c r="I12" i="2"/>
  <c r="I11" i="2"/>
  <c r="F12" i="2"/>
  <c r="F11" i="2"/>
  <c r="J12" i="2"/>
  <c r="J11" i="2"/>
  <c r="J14" i="2" s="1"/>
  <c r="H21" i="2"/>
  <c r="Y21" i="2" s="1"/>
  <c r="H19" i="2"/>
  <c r="H12" i="2"/>
  <c r="H11" i="2"/>
  <c r="L19" i="2"/>
  <c r="L12" i="2"/>
  <c r="L11" i="2"/>
  <c r="G19" i="2"/>
  <c r="G12" i="2"/>
  <c r="G11" i="2"/>
  <c r="G14" i="2" s="1"/>
  <c r="G28" i="2" s="1"/>
  <c r="K12" i="2"/>
  <c r="K11" i="2"/>
  <c r="K19" i="2"/>
  <c r="J19" i="2"/>
  <c r="I19" i="2"/>
  <c r="F19" i="2"/>
  <c r="E19" i="2"/>
  <c r="C19" i="2"/>
  <c r="L4" i="1"/>
  <c r="L7" i="1" s="1"/>
  <c r="AC17" i="2" l="1"/>
  <c r="Y28" i="2"/>
  <c r="Y16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A19" i="2"/>
  <c r="AA26" i="2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I14" i="2"/>
  <c r="I16" i="2" s="1"/>
  <c r="I20" i="2" s="1"/>
  <c r="I22" i="2" s="1"/>
  <c r="I24" i="2" s="1"/>
  <c r="I25" i="2" s="1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E14" i="2"/>
  <c r="E16" i="2" s="1"/>
  <c r="E20" i="2" s="1"/>
  <c r="E22" i="2" s="1"/>
  <c r="E24" i="2" s="1"/>
  <c r="E25" i="2" s="1"/>
  <c r="AA21" i="2"/>
  <c r="AB21" i="2" s="1"/>
  <c r="AC21" i="2" s="1"/>
  <c r="AD21" i="2" s="1"/>
  <c r="AE21" i="2" s="1"/>
  <c r="F14" i="2"/>
  <c r="F16" i="2" s="1"/>
  <c r="P12" i="2"/>
  <c r="Y20" i="2"/>
  <c r="Y22" i="2" s="1"/>
  <c r="Y24" i="2" s="1"/>
  <c r="Y25" i="2" s="1"/>
  <c r="Z14" i="2"/>
  <c r="Q11" i="2"/>
  <c r="R3" i="2"/>
  <c r="R11" i="2" s="1"/>
  <c r="R4" i="2"/>
  <c r="R12" i="2" s="1"/>
  <c r="Q12" i="2"/>
  <c r="J16" i="2"/>
  <c r="J20" i="2" s="1"/>
  <c r="J22" i="2" s="1"/>
  <c r="J24" i="2" s="1"/>
  <c r="J25" i="2" s="1"/>
  <c r="P11" i="2"/>
  <c r="P14" i="2" s="1"/>
  <c r="C20" i="2"/>
  <c r="C22" i="2" s="1"/>
  <c r="C24" i="2" s="1"/>
  <c r="C25" i="2" s="1"/>
  <c r="L14" i="2"/>
  <c r="L16" i="2" s="1"/>
  <c r="L20" i="2" s="1"/>
  <c r="L22" i="2" s="1"/>
  <c r="L24" i="2" s="1"/>
  <c r="L25" i="2" s="1"/>
  <c r="O28" i="2"/>
  <c r="F20" i="2"/>
  <c r="F22" i="2" s="1"/>
  <c r="F24" i="2" s="1"/>
  <c r="F25" i="2" s="1"/>
  <c r="H14" i="2"/>
  <c r="H16" i="2" s="1"/>
  <c r="H20" i="2" s="1"/>
  <c r="H22" i="2" s="1"/>
  <c r="H24" i="2" s="1"/>
  <c r="H25" i="2" s="1"/>
  <c r="M14" i="2"/>
  <c r="N14" i="2"/>
  <c r="N16" i="2" s="1"/>
  <c r="N20" i="2" s="1"/>
  <c r="N22" i="2" s="1"/>
  <c r="N24" i="2" s="1"/>
  <c r="N25" i="2" s="1"/>
  <c r="P28" i="2"/>
  <c r="O16" i="2"/>
  <c r="O20" i="2" s="1"/>
  <c r="O22" i="2" s="1"/>
  <c r="O24" i="2" s="1"/>
  <c r="O25" i="2" s="1"/>
  <c r="N28" i="2"/>
  <c r="D16" i="2"/>
  <c r="D20" i="2"/>
  <c r="D22" i="2" s="1"/>
  <c r="D24" i="2" s="1"/>
  <c r="D25" i="2" s="1"/>
  <c r="G16" i="2"/>
  <c r="G20" i="2" s="1"/>
  <c r="K14" i="2"/>
  <c r="K16" i="2" s="1"/>
  <c r="K20" i="2" s="1"/>
  <c r="K22" i="2" s="1"/>
  <c r="K24" i="2" s="1"/>
  <c r="K25" i="2" s="1"/>
  <c r="AA4" i="2" l="1"/>
  <c r="I28" i="2"/>
  <c r="AA3" i="2"/>
  <c r="Z16" i="2"/>
  <c r="Z20" i="2" s="1"/>
  <c r="Z22" i="2" s="1"/>
  <c r="Z24" i="2" s="1"/>
  <c r="Z25" i="2" s="1"/>
  <c r="AB19" i="2"/>
  <c r="AD17" i="2"/>
  <c r="AC19" i="2"/>
  <c r="J28" i="2"/>
  <c r="AF21" i="2"/>
  <c r="Z28" i="2"/>
  <c r="H28" i="2"/>
  <c r="L28" i="2"/>
  <c r="R14" i="2"/>
  <c r="P15" i="2"/>
  <c r="P16" i="2" s="1"/>
  <c r="P20" i="2" s="1"/>
  <c r="P22" i="2" s="1"/>
  <c r="P24" i="2" s="1"/>
  <c r="P25" i="2" s="1"/>
  <c r="G22" i="2"/>
  <c r="G24" i="2" s="1"/>
  <c r="G25" i="2" s="1"/>
  <c r="Q14" i="2"/>
  <c r="M28" i="2"/>
  <c r="M16" i="2"/>
  <c r="M20" i="2" s="1"/>
  <c r="M22" i="2" s="1"/>
  <c r="M24" i="2" s="1"/>
  <c r="M25" i="2" s="1"/>
  <c r="K28" i="2"/>
  <c r="AA11" i="2" l="1"/>
  <c r="AB3" i="2"/>
  <c r="AE17" i="2"/>
  <c r="AD19" i="2"/>
  <c r="AA12" i="2"/>
  <c r="AB4" i="2"/>
  <c r="AG21" i="2"/>
  <c r="Q15" i="2"/>
  <c r="Q16" i="2" s="1"/>
  <c r="Q20" i="2" s="1"/>
  <c r="Q22" i="2" s="1"/>
  <c r="Q24" i="2" s="1"/>
  <c r="Q25" i="2" s="1"/>
  <c r="R15" i="2"/>
  <c r="R16" i="2" s="1"/>
  <c r="R20" i="2" s="1"/>
  <c r="R22" i="2" s="1"/>
  <c r="R24" i="2" s="1"/>
  <c r="R25" i="2" s="1"/>
  <c r="R28" i="2"/>
  <c r="Q28" i="2"/>
  <c r="AB12" i="2" l="1"/>
  <c r="AC4" i="2"/>
  <c r="AC3" i="2"/>
  <c r="AB11" i="2"/>
  <c r="AB14" i="2" s="1"/>
  <c r="AF17" i="2"/>
  <c r="AE19" i="2"/>
  <c r="AA14" i="2"/>
  <c r="AH21" i="2"/>
  <c r="AG17" i="2" l="1"/>
  <c r="AF19" i="2"/>
  <c r="AA15" i="2"/>
  <c r="AA16" i="2"/>
  <c r="AA20" i="2" s="1"/>
  <c r="AA22" i="2" s="1"/>
  <c r="AA24" i="2" s="1"/>
  <c r="AA25" i="2" s="1"/>
  <c r="AA28" i="2"/>
  <c r="AB15" i="2"/>
  <c r="AB16" i="2" s="1"/>
  <c r="AB20" i="2" s="1"/>
  <c r="AB22" i="2" s="1"/>
  <c r="AB24" i="2" s="1"/>
  <c r="AB28" i="2"/>
  <c r="AD3" i="2"/>
  <c r="AC11" i="2"/>
  <c r="AC14" i="2" s="1"/>
  <c r="AD4" i="2"/>
  <c r="AC12" i="2"/>
  <c r="AI21" i="2"/>
  <c r="AD12" i="2" l="1"/>
  <c r="AE4" i="2"/>
  <c r="AD11" i="2"/>
  <c r="AE3" i="2"/>
  <c r="AB25" i="2"/>
  <c r="AC28" i="2"/>
  <c r="AC15" i="2"/>
  <c r="AC16" i="2" s="1"/>
  <c r="AC20" i="2" s="1"/>
  <c r="AC22" i="2" s="1"/>
  <c r="AC24" i="2" s="1"/>
  <c r="AC25" i="2" s="1"/>
  <c r="AH17" i="2"/>
  <c r="AG19" i="2"/>
  <c r="AJ21" i="2"/>
  <c r="AI17" i="2" l="1"/>
  <c r="AH19" i="2"/>
  <c r="AE12" i="2"/>
  <c r="AF4" i="2"/>
  <c r="AE11" i="2"/>
  <c r="AE14" i="2" s="1"/>
  <c r="AF3" i="2"/>
  <c r="AD14" i="2"/>
  <c r="AK21" i="2"/>
  <c r="AD28" i="2" l="1"/>
  <c r="AD15" i="2"/>
  <c r="AD16" i="2" s="1"/>
  <c r="AD20" i="2" s="1"/>
  <c r="AD22" i="2" s="1"/>
  <c r="AD24" i="2" s="1"/>
  <c r="AF11" i="2"/>
  <c r="AG3" i="2"/>
  <c r="AE28" i="2"/>
  <c r="AE15" i="2"/>
  <c r="AE16" i="2" s="1"/>
  <c r="AE20" i="2" s="1"/>
  <c r="AE22" i="2" s="1"/>
  <c r="AE24" i="2" s="1"/>
  <c r="AE25" i="2" s="1"/>
  <c r="AG4" i="2"/>
  <c r="AF12" i="2"/>
  <c r="AF14" i="2" s="1"/>
  <c r="AJ17" i="2"/>
  <c r="AI19" i="2"/>
  <c r="AK17" i="2" l="1"/>
  <c r="AK19" i="2" s="1"/>
  <c r="AJ19" i="2"/>
  <c r="AF28" i="2"/>
  <c r="AF15" i="2"/>
  <c r="AF16" i="2" s="1"/>
  <c r="AF20" i="2" s="1"/>
  <c r="AF22" i="2" s="1"/>
  <c r="AF24" i="2" s="1"/>
  <c r="AF25" i="2" s="1"/>
  <c r="AH4" i="2"/>
  <c r="AG12" i="2"/>
  <c r="AG11" i="2"/>
  <c r="AG14" i="2" s="1"/>
  <c r="AH3" i="2"/>
  <c r="AD25" i="2"/>
  <c r="AG28" i="2" l="1"/>
  <c r="AG15" i="2"/>
  <c r="AG16" i="2" s="1"/>
  <c r="AG20" i="2" s="1"/>
  <c r="AG22" i="2" s="1"/>
  <c r="AG24" i="2" s="1"/>
  <c r="AH11" i="2"/>
  <c r="AI3" i="2"/>
  <c r="AH12" i="2"/>
  <c r="AH14" i="2" s="1"/>
  <c r="AI4" i="2"/>
  <c r="AJ4" i="2" l="1"/>
  <c r="AI12" i="2"/>
  <c r="AG25" i="2"/>
  <c r="AH28" i="2"/>
  <c r="AH15" i="2"/>
  <c r="AH16" i="2" s="1"/>
  <c r="AH20" i="2" s="1"/>
  <c r="AH22" i="2" s="1"/>
  <c r="AH24" i="2" s="1"/>
  <c r="AH25" i="2" s="1"/>
  <c r="AI11" i="2"/>
  <c r="AI14" i="2" s="1"/>
  <c r="AJ3" i="2"/>
  <c r="AJ11" i="2" l="1"/>
  <c r="AK3" i="2"/>
  <c r="AI15" i="2"/>
  <c r="AI16" i="2" s="1"/>
  <c r="AI20" i="2" s="1"/>
  <c r="AI22" i="2" s="1"/>
  <c r="AI24" i="2" s="1"/>
  <c r="AI28" i="2"/>
  <c r="AK4" i="2"/>
  <c r="AK12" i="2" s="1"/>
  <c r="AJ12" i="2"/>
  <c r="AI25" i="2" l="1"/>
  <c r="AK11" i="2"/>
  <c r="AK14" i="2" s="1"/>
  <c r="AJ14" i="2"/>
  <c r="AK15" i="2" l="1"/>
  <c r="AK16" i="2" s="1"/>
  <c r="AK20" i="2" s="1"/>
  <c r="AK22" i="2" s="1"/>
  <c r="AK24" i="2" s="1"/>
  <c r="AK28" i="2"/>
  <c r="AJ28" i="2"/>
  <c r="AJ15" i="2"/>
  <c r="AJ16" i="2" s="1"/>
  <c r="AJ20" i="2" s="1"/>
  <c r="AJ22" i="2" s="1"/>
  <c r="AJ24" i="2" s="1"/>
  <c r="AJ25" i="2" s="1"/>
  <c r="AK25" i="2" l="1"/>
  <c r="AL24" i="2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AN32" i="2" s="1"/>
  <c r="AN33" i="2" s="1"/>
</calcChain>
</file>

<file path=xl/sharedStrings.xml><?xml version="1.0" encoding="utf-8"?>
<sst xmlns="http://schemas.openxmlformats.org/spreadsheetml/2006/main" count="95" uniqueCount="81">
  <si>
    <t>Price</t>
  </si>
  <si>
    <t>Shares</t>
  </si>
  <si>
    <t>MC</t>
  </si>
  <si>
    <t>Cash</t>
  </si>
  <si>
    <t>Debt</t>
  </si>
  <si>
    <t>EV</t>
  </si>
  <si>
    <t>Q124</t>
  </si>
  <si>
    <t>Name</t>
  </si>
  <si>
    <t>UX701</t>
  </si>
  <si>
    <t>Wilson's Disease</t>
  </si>
  <si>
    <t>Phase</t>
  </si>
  <si>
    <t>II</t>
  </si>
  <si>
    <t>GTX-102</t>
  </si>
  <si>
    <t>Angelman Syndrome</t>
  </si>
  <si>
    <t>Crysvita</t>
  </si>
  <si>
    <t>Dojolvi</t>
  </si>
  <si>
    <t>Mepsevii</t>
  </si>
  <si>
    <t>Evkeeza</t>
  </si>
  <si>
    <t>UX143 (setrusumab)</t>
  </si>
  <si>
    <t>Osteogenesis Imperfecta</t>
  </si>
  <si>
    <t>UX111</t>
  </si>
  <si>
    <t>Sanfilippo</t>
  </si>
  <si>
    <t>MOA</t>
  </si>
  <si>
    <t>GT</t>
  </si>
  <si>
    <t>Sclerostin</t>
  </si>
  <si>
    <t>DTX401</t>
  </si>
  <si>
    <t>GSDIa</t>
  </si>
  <si>
    <t>DTX301</t>
  </si>
  <si>
    <t>OTC Deficiency</t>
  </si>
  <si>
    <t>III</t>
  </si>
  <si>
    <t>Main</t>
  </si>
  <si>
    <t>Product</t>
  </si>
  <si>
    <t>Royalty</t>
  </si>
  <si>
    <t>Collab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</si>
  <si>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</si>
  <si>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</si>
  <si>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</si>
  <si>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</si>
  <si>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</si>
  <si>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</si>
  <si>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</si>
  <si>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</si>
  <si>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</si>
  <si>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</si>
  <si>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</si>
  <si>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</si>
  <si>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Operating Expenses</t>
  </si>
  <si>
    <t>Operating Income</t>
  </si>
  <si>
    <t>COGS</t>
  </si>
  <si>
    <t>Gross Margin</t>
  </si>
  <si>
    <t>R&amp;D</t>
  </si>
  <si>
    <t>SG&amp;A</t>
  </si>
  <si>
    <t>EPS</t>
  </si>
  <si>
    <t>Net Income</t>
  </si>
  <si>
    <t>Taxes</t>
  </si>
  <si>
    <t>Pretax Income</t>
  </si>
  <si>
    <t>Interest Income</t>
  </si>
  <si>
    <t>Revenue y/y</t>
  </si>
  <si>
    <t>Crysvita Sales</t>
  </si>
  <si>
    <t>Crysvita JV</t>
  </si>
  <si>
    <t>Crysvita EU Royalty</t>
  </si>
  <si>
    <t>Daiichi</t>
  </si>
  <si>
    <t>Q125</t>
  </si>
  <si>
    <t>Q225</t>
  </si>
  <si>
    <t>Q325</t>
  </si>
  <si>
    <t>Q425</t>
  </si>
  <si>
    <t>setrusumab</t>
  </si>
  <si>
    <t>Maturity</t>
  </si>
  <si>
    <t>Discount</t>
  </si>
  <si>
    <t>NPV</t>
  </si>
  <si>
    <t>Share</t>
  </si>
  <si>
    <t>Indication</t>
  </si>
  <si>
    <t>X-linked Hypophosphatemia</t>
  </si>
  <si>
    <t>Approved</t>
  </si>
  <si>
    <t>Brand</t>
  </si>
  <si>
    <t>Generic</t>
  </si>
  <si>
    <t>X-Linked Hypophosphatemia</t>
  </si>
  <si>
    <t>Economics</t>
  </si>
  <si>
    <t>Kyowa 2013 deal. Sold economics of OMERS &amp; RPI</t>
  </si>
  <si>
    <t>Burosumab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</si>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</sst>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CB7F824-F76B-4310-9E38-4777C8DCA5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34584</xdr:colOff>
      <xdr:row>0</xdr:row>
      <xdr:rowOff>0</xdr:rowOff>
    </xdr:from>
    <xdr:to>
      <xdr:col>15</xdr:col>
      <xdr:colOff>34584</xdr:colOff>
      <xdr:row>72</xdr:row>
      <xdr:rowOff>110434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88BCCE-8C41-AD98-4CB0-2BB69FDAFBAC}"/>
            </a:ext>
          </a:extLst>
        </xdr:cNvPr>
        <xdr:cNvCxnSpPr/>
      </xdr:nvCxnSpPr>
      <xdr:spPr>
        <a:xfrm>
          <a:off x="17632367" y="0"/>
          <a:ext cx="0" cy="114852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15810</xdr:colOff>
      <xdr:row>0</xdr:row>
      <xdr:rowOff>0</xdr:rowOff>
    </xdr:from>
    <xdr:to>
      <xdr:col>26</xdr:col>
      <xdr:colOff>15810</xdr:colOff>
      <xdr:row>72</xdr:row>
      <xdr:rowOff>110434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05283F-9AC2-4834-8467-7265BBADC95C}"/>
            </a:ext>
          </a:extLst>
        </xdr:cNvPr>
        <xdr:cNvCxnSpPr/>
      </xdr:nvCxnSpPr>
      <xdr:spPr>
        <a:xfrm>
          <a:off x="24294897" y="0"/>
          <a:ext cx="0" cy="116453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2020-BC36-4BFD-8C36-D62E271332A9}">
  <dimension ref="B2:M13"/>
  <sheetViews>
    <sheetView zoomScaleNormal="100" workbookViewId="0">
      <selection activeCell="M7" sqref="M7"/>
    </sheetView>
  </sheetViews>
  <sheetFormatPr defaultRowHeight="12.75" x14ac:dyDescent="0.2"/>
  <cols>
    <col min="1" max="1" width="3.28515625" customWidth="1"/>
    <col min="2" max="2" width="18.28515625" bestFit="1" customWidth="1"/>
    <col min="3" max="3" width="22.140625" bestFit="1" customWidth="1"/>
    <col min="4" max="4" width="10.140625" customWidth="1"/>
  </cols>
  <sheetData>
    <row r="2" spans="2:13" x14ac:dyDescent="0.2">
      <c r="B2" s="8" t="s">
        <v>7</v>
      </c>
      <c r="C2" s="9" t="s">
        <v>71</v>
      </c>
      <c r="D2" s="9" t="s">
        <v>73</v>
      </c>
      <c r="E2" s="9"/>
      <c r="F2" s="9"/>
      <c r="G2" s="9"/>
      <c r="H2" s="9"/>
      <c r="I2" s="10"/>
      <c r="K2" t="s">
        <v>0</v>
      </c>
      <c r="L2" s="21">
        <v>39.700000000000003</v>
      </c>
    </row>
    <row r="3" spans="2:13" x14ac:dyDescent="0.2">
      <c r="B3" s="3" t="s">
        <v>14</v>
      </c>
      <c r="C3" t="s">
        <v>72</v>
      </c>
      <c r="D3" s="23">
        <v>43207</v>
      </c>
      <c r="I3" s="4"/>
      <c r="K3" t="s">
        <v>1</v>
      </c>
      <c r="L3" s="1">
        <v>94.542034999999998</v>
      </c>
      <c r="M3" s="2" t="s">
        <v>62</v>
      </c>
    </row>
    <row r="4" spans="2:13" x14ac:dyDescent="0.2">
      <c r="B4" s="3" t="s">
        <v>15</v>
      </c>
      <c r="I4" s="4"/>
      <c r="K4" t="s">
        <v>2</v>
      </c>
      <c r="L4" s="1">
        <f>+L2*L3</f>
        <v>3753.3187895000001</v>
      </c>
    </row>
    <row r="5" spans="2:13" x14ac:dyDescent="0.2">
      <c r="B5" s="3" t="s">
        <v>17</v>
      </c>
      <c r="I5" s="4"/>
      <c r="K5" t="s">
        <v>3</v>
      </c>
      <c r="L5" s="1">
        <f>127.055+367.385+68.563</f>
        <v>563.00300000000004</v>
      </c>
      <c r="M5" s="2" t="s">
        <v>62</v>
      </c>
    </row>
    <row r="6" spans="2:13" x14ac:dyDescent="0.2">
      <c r="B6" s="3" t="s">
        <v>16</v>
      </c>
      <c r="I6" s="4"/>
      <c r="K6" t="s">
        <v>4</v>
      </c>
      <c r="L6" s="1">
        <v>0</v>
      </c>
      <c r="M6" s="2" t="s">
        <v>62</v>
      </c>
    </row>
    <row r="7" spans="2:13" x14ac:dyDescent="0.2">
      <c r="B7" s="8"/>
      <c r="C7" s="9"/>
      <c r="D7" s="12" t="s">
        <v>10</v>
      </c>
      <c r="E7" s="12" t="s">
        <v>22</v>
      </c>
      <c r="F7" s="12"/>
      <c r="G7" s="12"/>
      <c r="H7" s="12"/>
      <c r="I7" s="10"/>
      <c r="K7" t="s">
        <v>5</v>
      </c>
      <c r="L7" s="1">
        <f>+L4-L5+L6</f>
        <v>3190.3157894999999</v>
      </c>
    </row>
    <row r="8" spans="2:13" x14ac:dyDescent="0.2">
      <c r="B8" s="3" t="s">
        <v>8</v>
      </c>
      <c r="C8" t="s">
        <v>9</v>
      </c>
      <c r="D8" s="13" t="s">
        <v>11</v>
      </c>
      <c r="E8" s="13" t="s">
        <v>23</v>
      </c>
      <c r="F8" s="13"/>
      <c r="G8" s="13"/>
      <c r="H8" s="13"/>
      <c r="I8" s="4"/>
    </row>
    <row r="9" spans="2:13" x14ac:dyDescent="0.2">
      <c r="B9" s="3" t="s">
        <v>12</v>
      </c>
      <c r="C9" t="s">
        <v>13</v>
      </c>
      <c r="D9" s="13"/>
      <c r="E9" s="13"/>
      <c r="F9" s="13"/>
      <c r="G9" s="13"/>
      <c r="H9" s="13"/>
      <c r="I9" s="4"/>
    </row>
    <row r="10" spans="2:13" x14ac:dyDescent="0.2">
      <c r="B10" s="11" t="s">
        <v>18</v>
      </c>
      <c r="C10" t="s">
        <v>19</v>
      </c>
      <c r="D10" s="13" t="s">
        <v>11</v>
      </c>
      <c r="E10" s="13" t="s">
        <v>24</v>
      </c>
      <c r="F10" s="13"/>
      <c r="G10" s="13"/>
      <c r="H10" s="13"/>
      <c r="I10" s="4"/>
    </row>
    <row r="11" spans="2:13" x14ac:dyDescent="0.2">
      <c r="B11" s="11" t="s">
        <v>25</v>
      </c>
      <c r="C11" t="s">
        <v>26</v>
      </c>
      <c r="D11" s="13"/>
      <c r="E11" s="13" t="s">
        <v>23</v>
      </c>
      <c r="F11" s="13"/>
      <c r="G11" s="13"/>
      <c r="H11" s="13"/>
      <c r="I11" s="4"/>
    </row>
    <row r="12" spans="2:13" x14ac:dyDescent="0.2">
      <c r="B12" s="11" t="s">
        <v>27</v>
      </c>
      <c r="C12" t="s">
        <v>28</v>
      </c>
      <c r="D12" s="13" t="s">
        <v>29</v>
      </c>
      <c r="E12" s="13" t="s">
        <v>23</v>
      </c>
      <c r="F12" s="13"/>
      <c r="G12" s="13"/>
      <c r="H12" s="13"/>
      <c r="I12" s="4"/>
    </row>
    <row r="13" spans="2:13" x14ac:dyDescent="0.2">
      <c r="B13" s="5" t="s">
        <v>20</v>
      </c>
      <c r="C13" s="6" t="s">
        <v>21</v>
      </c>
      <c r="D13" s="14"/>
      <c r="E13" s="14" t="s">
        <v>23</v>
      </c>
      <c r="F13" s="14"/>
      <c r="G13" s="14"/>
      <c r="H13" s="14"/>
      <c r="I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2C2-6B65-42EA-86D4-7E669CBFF9A5}">
  <dimension ref="A1:CW34"/>
  <sheetViews>
    <sheetView tabSelected="1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N34" sqref="AN3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  <col min="40" max="40" width="9.5703125" bestFit="1" customWidth="1"/>
  </cols>
  <sheetData>
    <row r="1" spans="1:42" x14ac:dyDescent="0.2">
      <c r="A1" s="20" t="s">
        <v>30</v>
      </c>
    </row>
    <row r="2" spans="1:42" x14ac:dyDescent="0.2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6</v>
      </c>
      <c r="L2" s="2" t="s">
        <v>43</v>
      </c>
      <c r="M2" s="2" t="s">
        <v>44</v>
      </c>
      <c r="N2" s="2" t="s">
        <v>45</v>
      </c>
      <c r="O2" s="2" t="s">
        <v>62</v>
      </c>
      <c r="P2" s="2" t="s">
        <v>63</v>
      </c>
      <c r="Q2" s="2" t="s">
        <v>64</v>
      </c>
      <c r="R2" s="2" t="s">
        <v>65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f>+AB2+1</f>
        <v>2027</v>
      </c>
      <c r="AD2">
        <f t="shared" ref="AD2:AP2" si="0">+AC2+1</f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</row>
    <row r="3" spans="1:42" s="1" customFormat="1" x14ac:dyDescent="0.2">
      <c r="B3" s="1" t="s">
        <v>58</v>
      </c>
      <c r="C3" s="15">
        <v>9.3940000000000001</v>
      </c>
      <c r="D3" s="15">
        <v>12.401999999999999</v>
      </c>
      <c r="E3" s="15">
        <v>13.183999999999999</v>
      </c>
      <c r="F3" s="15">
        <v>7.6980000000000004</v>
      </c>
      <c r="G3" s="15">
        <v>21.234000000000002</v>
      </c>
      <c r="H3" s="15">
        <v>16.884</v>
      </c>
      <c r="I3" s="15">
        <v>19.2</v>
      </c>
      <c r="J3" s="15">
        <v>18.379000000000001</v>
      </c>
      <c r="K3" s="15">
        <v>36.241</v>
      </c>
      <c r="L3" s="15">
        <v>40.448999999999998</v>
      </c>
      <c r="M3" s="15">
        <v>35.603999999999999</v>
      </c>
      <c r="N3" s="15">
        <v>22.414999999999999</v>
      </c>
      <c r="O3" s="1">
        <v>55.08</v>
      </c>
      <c r="P3" s="1">
        <f>+O3+2</f>
        <v>57.08</v>
      </c>
      <c r="Q3" s="1">
        <f>+P3+2</f>
        <v>59.08</v>
      </c>
      <c r="R3" s="1">
        <f>+Q3+2</f>
        <v>61.08</v>
      </c>
      <c r="X3" s="1">
        <f>SUM(C3:F3)</f>
        <v>42.677999999999997</v>
      </c>
      <c r="Y3" s="1">
        <f>SUM(G3:J3)</f>
        <v>75.697000000000003</v>
      </c>
      <c r="Z3" s="1">
        <f t="shared" ref="Z3:Z9" si="1">SUM(K3:N3)</f>
        <v>134.709</v>
      </c>
      <c r="AA3" s="1">
        <f t="shared" ref="AA3:AA10" si="2">SUM(O3:R3)</f>
        <v>232.32</v>
      </c>
      <c r="AB3" s="1">
        <f>+AA3</f>
        <v>232.32</v>
      </c>
      <c r="AC3" s="1">
        <f t="shared" ref="AC3:AK3" si="3">+AB3</f>
        <v>232.32</v>
      </c>
      <c r="AD3" s="1">
        <f t="shared" si="3"/>
        <v>232.32</v>
      </c>
      <c r="AE3" s="1">
        <f t="shared" si="3"/>
        <v>232.32</v>
      </c>
      <c r="AF3" s="1">
        <f t="shared" si="3"/>
        <v>232.32</v>
      </c>
      <c r="AG3" s="1">
        <f t="shared" si="3"/>
        <v>232.32</v>
      </c>
      <c r="AH3" s="1">
        <f t="shared" si="3"/>
        <v>232.32</v>
      </c>
      <c r="AI3" s="1">
        <f t="shared" si="3"/>
        <v>232.32</v>
      </c>
      <c r="AJ3" s="1">
        <f t="shared" si="3"/>
        <v>232.32</v>
      </c>
      <c r="AK3" s="1">
        <f t="shared" si="3"/>
        <v>232.32</v>
      </c>
    </row>
    <row r="4" spans="1:42" s="1" customFormat="1" x14ac:dyDescent="0.2">
      <c r="B4" s="1" t="s">
        <v>59</v>
      </c>
      <c r="C4" s="15">
        <v>45.164000000000001</v>
      </c>
      <c r="D4" s="15">
        <v>51.609000000000002</v>
      </c>
      <c r="E4" s="15">
        <v>5.3730000000000002</v>
      </c>
      <c r="F4" s="15">
        <v>66.903000000000006</v>
      </c>
      <c r="G4" s="15">
        <v>49.905999999999999</v>
      </c>
      <c r="H4" s="15">
        <v>61.314</v>
      </c>
      <c r="I4" s="15">
        <v>50.23</v>
      </c>
      <c r="J4" s="15">
        <v>70.123999999999995</v>
      </c>
      <c r="K4" s="15">
        <v>40.402000000000001</v>
      </c>
      <c r="L4" s="15">
        <v>67.045000000000002</v>
      </c>
      <c r="M4" s="15">
        <v>55.984999999999999</v>
      </c>
      <c r="N4" s="15">
        <v>85.534000000000006</v>
      </c>
      <c r="O4" s="1">
        <v>40.853000000000002</v>
      </c>
      <c r="P4" s="1">
        <f>+O4+1</f>
        <v>41.853000000000002</v>
      </c>
      <c r="Q4" s="1">
        <f>+P4+1</f>
        <v>42.853000000000002</v>
      </c>
      <c r="R4" s="1">
        <f>+Q4+1</f>
        <v>43.853000000000002</v>
      </c>
      <c r="X4" s="1">
        <f t="shared" ref="X4:X10" si="4">SUM(C4:F4)</f>
        <v>169.04900000000001</v>
      </c>
      <c r="Y4" s="1">
        <f t="shared" ref="Y4:Y10" si="5">SUM(G4:J4)</f>
        <v>231.57399999999998</v>
      </c>
      <c r="Z4" s="1">
        <f t="shared" si="1"/>
        <v>248.96600000000001</v>
      </c>
      <c r="AA4" s="1">
        <f t="shared" si="2"/>
        <v>169.41200000000001</v>
      </c>
      <c r="AB4" s="1">
        <f>+AA4</f>
        <v>169.41200000000001</v>
      </c>
      <c r="AC4" s="1">
        <f t="shared" ref="AC4:AK4" si="6">+AB4</f>
        <v>169.41200000000001</v>
      </c>
      <c r="AD4" s="1">
        <f t="shared" si="6"/>
        <v>169.41200000000001</v>
      </c>
      <c r="AE4" s="1">
        <f t="shared" si="6"/>
        <v>169.41200000000001</v>
      </c>
      <c r="AF4" s="1">
        <f t="shared" si="6"/>
        <v>169.41200000000001</v>
      </c>
      <c r="AG4" s="1">
        <f t="shared" si="6"/>
        <v>169.41200000000001</v>
      </c>
      <c r="AH4" s="1">
        <f t="shared" si="6"/>
        <v>169.41200000000001</v>
      </c>
      <c r="AI4" s="1">
        <f t="shared" si="6"/>
        <v>169.41200000000001</v>
      </c>
      <c r="AJ4" s="1">
        <f t="shared" si="6"/>
        <v>169.41200000000001</v>
      </c>
      <c r="AK4" s="1">
        <f t="shared" si="6"/>
        <v>169.41200000000001</v>
      </c>
    </row>
    <row r="5" spans="1:42" s="1" customFormat="1" x14ac:dyDescent="0.2">
      <c r="B5" s="1" t="s">
        <v>60</v>
      </c>
      <c r="C5" s="15">
        <v>4.8380000000000001</v>
      </c>
      <c r="D5" s="15">
        <v>5.423</v>
      </c>
      <c r="E5" s="15">
        <f>51.348</f>
        <v>51.347999999999999</v>
      </c>
      <c r="F5" s="15">
        <v>6.0579999999999998</v>
      </c>
      <c r="G5" s="15">
        <v>4.8819999999999997</v>
      </c>
      <c r="H5" s="15">
        <v>4.8159999999999998</v>
      </c>
      <c r="I5" s="15">
        <v>5.4729999999999999</v>
      </c>
      <c r="J5" s="15">
        <v>5.6120000000000001</v>
      </c>
      <c r="K5" s="15">
        <v>5.9420000000000002</v>
      </c>
      <c r="L5" s="15">
        <v>6.1760000000000002</v>
      </c>
      <c r="M5" s="15">
        <v>6.258</v>
      </c>
      <c r="N5" s="15">
        <v>7.4729999999999999</v>
      </c>
      <c r="O5" s="1">
        <v>6.9320000000000004</v>
      </c>
      <c r="P5" s="1">
        <f>+O5</f>
        <v>6.9320000000000004</v>
      </c>
      <c r="Q5" s="1">
        <f>+P5</f>
        <v>6.9320000000000004</v>
      </c>
      <c r="R5" s="1">
        <f>+Q5</f>
        <v>6.9320000000000004</v>
      </c>
      <c r="X5" s="1">
        <f t="shared" si="4"/>
        <v>67.667000000000002</v>
      </c>
      <c r="Y5" s="1">
        <f t="shared" si="5"/>
        <v>20.783000000000001</v>
      </c>
      <c r="Z5" s="1">
        <f t="shared" si="1"/>
        <v>25.849</v>
      </c>
      <c r="AA5" s="1">
        <f t="shared" si="2"/>
        <v>27.728000000000002</v>
      </c>
      <c r="AB5" s="1">
        <f>+AA5</f>
        <v>27.728000000000002</v>
      </c>
      <c r="AC5" s="1">
        <f t="shared" ref="AC5:AK5" si="7">+AB5</f>
        <v>27.728000000000002</v>
      </c>
      <c r="AD5" s="1">
        <f t="shared" si="7"/>
        <v>27.728000000000002</v>
      </c>
      <c r="AE5" s="1">
        <f t="shared" si="7"/>
        <v>27.728000000000002</v>
      </c>
      <c r="AF5" s="1">
        <f t="shared" si="7"/>
        <v>27.728000000000002</v>
      </c>
      <c r="AG5" s="1">
        <f t="shared" si="7"/>
        <v>27.728000000000002</v>
      </c>
      <c r="AH5" s="1">
        <f t="shared" si="7"/>
        <v>27.728000000000002</v>
      </c>
      <c r="AI5" s="1">
        <f t="shared" si="7"/>
        <v>27.728000000000002</v>
      </c>
      <c r="AJ5" s="1">
        <f t="shared" si="7"/>
        <v>27.728000000000002</v>
      </c>
      <c r="AK5" s="1">
        <f t="shared" si="7"/>
        <v>27.728000000000002</v>
      </c>
    </row>
    <row r="6" spans="1:42" s="1" customFormat="1" x14ac:dyDescent="0.2">
      <c r="B6" s="1" t="s">
        <v>15</v>
      </c>
      <c r="C6" s="15">
        <v>12.429</v>
      </c>
      <c r="D6" s="15">
        <v>13.497</v>
      </c>
      <c r="E6" s="15">
        <v>13.273999999999999</v>
      </c>
      <c r="F6" s="15">
        <v>16.411999999999999</v>
      </c>
      <c r="G6" s="15">
        <v>14.303000000000001</v>
      </c>
      <c r="H6" s="15">
        <v>16.491</v>
      </c>
      <c r="I6" s="15">
        <v>16.553000000000001</v>
      </c>
      <c r="J6" s="15">
        <v>23.286000000000001</v>
      </c>
      <c r="K6" s="15">
        <v>16.361999999999998</v>
      </c>
      <c r="L6" s="15">
        <v>19.355</v>
      </c>
      <c r="M6" s="15">
        <v>21.373999999999999</v>
      </c>
      <c r="N6" s="15">
        <v>31.103000000000002</v>
      </c>
      <c r="O6" s="1">
        <v>17.009</v>
      </c>
      <c r="P6" s="1">
        <f>+O6+4</f>
        <v>21.009</v>
      </c>
      <c r="Q6" s="1">
        <f>+P6+4</f>
        <v>25.009</v>
      </c>
      <c r="R6" s="1">
        <f>+Q6+4</f>
        <v>29.009</v>
      </c>
      <c r="X6" s="1">
        <f t="shared" si="4"/>
        <v>55.612000000000002</v>
      </c>
      <c r="Y6" s="1">
        <f t="shared" si="5"/>
        <v>70.63300000000001</v>
      </c>
      <c r="Z6" s="1">
        <f t="shared" si="1"/>
        <v>88.193999999999988</v>
      </c>
      <c r="AA6" s="1">
        <f t="shared" si="2"/>
        <v>92.036000000000001</v>
      </c>
      <c r="AB6" s="1">
        <f>+AA6*1.01</f>
        <v>92.956360000000004</v>
      </c>
      <c r="AC6" s="1">
        <f t="shared" ref="AC6:AK6" si="8">+AB6*1.01</f>
        <v>93.885923599999998</v>
      </c>
      <c r="AD6" s="1">
        <f t="shared" si="8"/>
        <v>94.824782835999997</v>
      </c>
      <c r="AE6" s="1">
        <f t="shared" si="8"/>
        <v>95.773030664359993</v>
      </c>
      <c r="AF6" s="1">
        <f t="shared" si="8"/>
        <v>96.73076097100359</v>
      </c>
      <c r="AG6" s="1">
        <f t="shared" si="8"/>
        <v>97.698068580713624</v>
      </c>
      <c r="AH6" s="1">
        <f t="shared" si="8"/>
        <v>98.675049266520759</v>
      </c>
      <c r="AI6" s="1">
        <f t="shared" si="8"/>
        <v>99.661799759185968</v>
      </c>
      <c r="AJ6" s="1">
        <f t="shared" si="8"/>
        <v>100.65841775677782</v>
      </c>
      <c r="AK6" s="1">
        <f t="shared" si="8"/>
        <v>101.6650019343456</v>
      </c>
    </row>
    <row r="7" spans="1:42" s="1" customFormat="1" x14ac:dyDescent="0.2">
      <c r="B7" s="1" t="s">
        <v>16</v>
      </c>
      <c r="C7" s="15">
        <v>4.8609999999999998</v>
      </c>
      <c r="D7" s="15">
        <v>4.9329999999999998</v>
      </c>
      <c r="E7" s="15">
        <v>6.0449999999999999</v>
      </c>
      <c r="F7" s="15">
        <v>4.798</v>
      </c>
      <c r="G7" s="15">
        <v>8.48</v>
      </c>
      <c r="H7" s="15">
        <v>8.4390000000000001</v>
      </c>
      <c r="I7" s="15">
        <v>5.633</v>
      </c>
      <c r="J7" s="15">
        <v>7.8890000000000002</v>
      </c>
      <c r="K7" s="15">
        <v>6.6109999999999998</v>
      </c>
      <c r="L7" s="15">
        <v>6.1449999999999996</v>
      </c>
      <c r="M7" s="15">
        <v>9.6159999999999997</v>
      </c>
      <c r="N7" s="15">
        <v>7.9779999999999998</v>
      </c>
      <c r="O7" s="1">
        <v>8.3870000000000005</v>
      </c>
      <c r="P7" s="1">
        <f>+O7</f>
        <v>8.3870000000000005</v>
      </c>
      <c r="Q7" s="1">
        <f>+P7+1</f>
        <v>9.3870000000000005</v>
      </c>
      <c r="R7" s="1">
        <f>+Q7</f>
        <v>9.3870000000000005</v>
      </c>
      <c r="X7" s="1">
        <f t="shared" si="4"/>
        <v>20.637</v>
      </c>
      <c r="Y7" s="1">
        <f t="shared" si="5"/>
        <v>30.440999999999999</v>
      </c>
      <c r="Z7" s="1">
        <f t="shared" si="1"/>
        <v>30.35</v>
      </c>
      <c r="AA7" s="1">
        <f t="shared" si="2"/>
        <v>35.548000000000002</v>
      </c>
      <c r="AB7" s="1">
        <f t="shared" ref="AB7:AK7" si="9">+AA7*1.01</f>
        <v>35.903480000000002</v>
      </c>
      <c r="AC7" s="1">
        <f t="shared" si="9"/>
        <v>36.262514800000005</v>
      </c>
      <c r="AD7" s="1">
        <f t="shared" si="9"/>
        <v>36.625139948000005</v>
      </c>
      <c r="AE7" s="1">
        <f t="shared" si="9"/>
        <v>36.991391347480004</v>
      </c>
      <c r="AF7" s="1">
        <f t="shared" si="9"/>
        <v>37.361305260954808</v>
      </c>
      <c r="AG7" s="1">
        <f t="shared" si="9"/>
        <v>37.734918313564357</v>
      </c>
      <c r="AH7" s="1">
        <f t="shared" si="9"/>
        <v>38.112267496699999</v>
      </c>
      <c r="AI7" s="1">
        <f t="shared" si="9"/>
        <v>38.493390171667002</v>
      </c>
      <c r="AJ7" s="1">
        <f t="shared" si="9"/>
        <v>38.878324073383673</v>
      </c>
      <c r="AK7" s="1">
        <f t="shared" si="9"/>
        <v>39.26710731411751</v>
      </c>
    </row>
    <row r="8" spans="1:42" s="1" customFormat="1" x14ac:dyDescent="0.2">
      <c r="B8" s="1" t="s">
        <v>17</v>
      </c>
      <c r="C8" s="15">
        <v>0</v>
      </c>
      <c r="D8" s="15">
        <v>0</v>
      </c>
      <c r="E8" s="15">
        <v>0</v>
      </c>
      <c r="F8" s="15">
        <v>0</v>
      </c>
      <c r="G8" s="15">
        <v>0.21199999999999999</v>
      </c>
      <c r="H8" s="15">
        <v>0.36499999999999999</v>
      </c>
      <c r="I8" s="15">
        <v>0.96299999999999997</v>
      </c>
      <c r="J8" s="15">
        <v>2.1019999999999999</v>
      </c>
      <c r="K8" s="15">
        <v>3.2749999999999999</v>
      </c>
      <c r="L8" s="15">
        <v>7.8559999999999999</v>
      </c>
      <c r="M8" s="15">
        <v>10.657</v>
      </c>
      <c r="N8" s="15">
        <v>10.374000000000001</v>
      </c>
      <c r="O8" s="1">
        <v>11.031000000000001</v>
      </c>
      <c r="P8" s="1">
        <f>+O8+1</f>
        <v>12.031000000000001</v>
      </c>
      <c r="Q8" s="1">
        <f>+P8+1</f>
        <v>13.031000000000001</v>
      </c>
      <c r="R8" s="1">
        <f>+Q8+1</f>
        <v>14.031000000000001</v>
      </c>
      <c r="X8" s="1">
        <f t="shared" si="4"/>
        <v>0</v>
      </c>
      <c r="Y8" s="1">
        <f t="shared" si="5"/>
        <v>3.6419999999999999</v>
      </c>
      <c r="Z8" s="1">
        <f t="shared" si="1"/>
        <v>32.161999999999999</v>
      </c>
      <c r="AA8" s="1">
        <f t="shared" si="2"/>
        <v>50.124000000000002</v>
      </c>
      <c r="AB8" s="1">
        <f t="shared" ref="AB8:AK8" si="10">+AA8*1.01</f>
        <v>50.625240000000005</v>
      </c>
      <c r="AC8" s="1">
        <f t="shared" si="10"/>
        <v>51.131492400000006</v>
      </c>
      <c r="AD8" s="1">
        <f t="shared" si="10"/>
        <v>51.642807324000003</v>
      </c>
      <c r="AE8" s="1">
        <f t="shared" si="10"/>
        <v>52.159235397240003</v>
      </c>
      <c r="AF8" s="1">
        <f t="shared" si="10"/>
        <v>52.680827751212405</v>
      </c>
      <c r="AG8" s="1">
        <f t="shared" si="10"/>
        <v>53.207636028724529</v>
      </c>
      <c r="AH8" s="1">
        <f t="shared" si="10"/>
        <v>53.739712389011778</v>
      </c>
      <c r="AI8" s="1">
        <f t="shared" si="10"/>
        <v>54.277109512901895</v>
      </c>
      <c r="AJ8" s="1">
        <f t="shared" si="10"/>
        <v>54.819880608030914</v>
      </c>
      <c r="AK8" s="1">
        <f t="shared" si="10"/>
        <v>55.368079414111222</v>
      </c>
    </row>
    <row r="9" spans="1:42" s="1" customFormat="1" x14ac:dyDescent="0.2">
      <c r="B9" s="1" t="s">
        <v>66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X9" s="1">
        <f t="shared" si="4"/>
        <v>0</v>
      </c>
      <c r="Y9" s="1">
        <f t="shared" si="5"/>
        <v>0</v>
      </c>
      <c r="Z9" s="1">
        <f t="shared" si="1"/>
        <v>0</v>
      </c>
      <c r="AA9" s="1">
        <f t="shared" si="2"/>
        <v>0</v>
      </c>
      <c r="AB9" s="1">
        <v>100</v>
      </c>
      <c r="AC9" s="1">
        <v>150</v>
      </c>
      <c r="AD9" s="1">
        <v>200</v>
      </c>
      <c r="AE9" s="1">
        <v>250</v>
      </c>
      <c r="AF9" s="1">
        <v>300</v>
      </c>
      <c r="AG9" s="1">
        <f>+AF9*1.03</f>
        <v>309</v>
      </c>
      <c r="AH9" s="1">
        <f>+AG9*1.03</f>
        <v>318.27</v>
      </c>
      <c r="AI9" s="1">
        <f>+AH9*1.03</f>
        <v>327.81810000000002</v>
      </c>
      <c r="AJ9" s="1">
        <f>+AI9*1.03</f>
        <v>337.65264300000001</v>
      </c>
      <c r="AK9" s="1">
        <f>+AJ9*1.03</f>
        <v>347.78222228999999</v>
      </c>
    </row>
    <row r="10" spans="1:42" s="1" customFormat="1" x14ac:dyDescent="0.2">
      <c r="B10" s="1" t="s">
        <v>61</v>
      </c>
      <c r="C10" s="15">
        <v>3.2490000000000001</v>
      </c>
      <c r="D10" s="15">
        <v>1.4790000000000001</v>
      </c>
      <c r="E10" s="15">
        <v>1.4790000000000001</v>
      </c>
      <c r="F10" s="15">
        <v>1.4790000000000001</v>
      </c>
      <c r="G10" s="15">
        <v>1.4790000000000001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">
        <v>0</v>
      </c>
      <c r="P10" s="1">
        <v>0</v>
      </c>
      <c r="Q10" s="1">
        <v>0</v>
      </c>
      <c r="R10" s="1">
        <v>0</v>
      </c>
      <c r="X10" s="1">
        <f t="shared" si="4"/>
        <v>7.6859999999999999</v>
      </c>
      <c r="Y10" s="1">
        <f t="shared" si="5"/>
        <v>1.4790000000000001</v>
      </c>
      <c r="Z10" s="1">
        <f t="shared" ref="Z10:Z13" si="11">SUM(K10:N10)</f>
        <v>0</v>
      </c>
      <c r="AA10" s="1">
        <f t="shared" si="2"/>
        <v>0</v>
      </c>
    </row>
    <row r="11" spans="1:42" s="1" customFormat="1" x14ac:dyDescent="0.2">
      <c r="B11" s="1" t="s">
        <v>31</v>
      </c>
      <c r="C11" s="15">
        <f t="shared" ref="C11" si="12">+C3+C6+C7+C8</f>
        <v>26.684000000000001</v>
      </c>
      <c r="D11" s="15">
        <f>+D3+D6+D7+D8</f>
        <v>30.832000000000001</v>
      </c>
      <c r="E11" s="15">
        <f>+E3+E6+E7+E8</f>
        <v>32.503</v>
      </c>
      <c r="F11" s="15">
        <f>+F3+F6+F7+F8</f>
        <v>28.908000000000001</v>
      </c>
      <c r="G11" s="15">
        <f>+G3+G6+G7+G8</f>
        <v>44.229000000000013</v>
      </c>
      <c r="H11" s="15">
        <f>H3+H6+H7+H8</f>
        <v>42.179000000000002</v>
      </c>
      <c r="I11" s="15">
        <f>+I3+I6+I7+I8</f>
        <v>42.349000000000004</v>
      </c>
      <c r="J11" s="15">
        <f>+J3+J6+J7+J8</f>
        <v>51.656000000000006</v>
      </c>
      <c r="K11" s="15">
        <f>+K3+K6+K7+K8</f>
        <v>62.48899999999999</v>
      </c>
      <c r="L11" s="15">
        <f>L3+L6+L7+L8</f>
        <v>73.804999999999993</v>
      </c>
      <c r="M11" s="15">
        <f>M3+M6+M7+M8</f>
        <v>77.250999999999991</v>
      </c>
      <c r="N11" s="15">
        <f>N3+N6+N7+N8</f>
        <v>71.87</v>
      </c>
      <c r="O11" s="15">
        <f>O3+O6+O7+O8</f>
        <v>91.507000000000005</v>
      </c>
      <c r="P11" s="15">
        <f t="shared" ref="P11:R11" si="13">P3+P6+P7+P8</f>
        <v>98.507000000000005</v>
      </c>
      <c r="Q11" s="15">
        <f t="shared" si="13"/>
        <v>106.50700000000001</v>
      </c>
      <c r="R11" s="15">
        <f t="shared" si="13"/>
        <v>113.50700000000001</v>
      </c>
      <c r="X11" s="15">
        <f>X3+X6+X7+X8+X9</f>
        <v>118.92699999999999</v>
      </c>
      <c r="Y11" s="15">
        <f t="shared" ref="Y11:AK11" si="14">Y3+Y6+Y7+Y8+Y9</f>
        <v>180.41300000000001</v>
      </c>
      <c r="Z11" s="15">
        <f t="shared" si="14"/>
        <v>285.41499999999996</v>
      </c>
      <c r="AA11" s="15">
        <f t="shared" si="14"/>
        <v>410.02800000000002</v>
      </c>
      <c r="AB11" s="15">
        <f t="shared" si="14"/>
        <v>511.80508000000003</v>
      </c>
      <c r="AC11" s="15">
        <f t="shared" si="14"/>
        <v>563.59993080000004</v>
      </c>
      <c r="AD11" s="15">
        <f t="shared" si="14"/>
        <v>615.41273010800001</v>
      </c>
      <c r="AE11" s="15">
        <f t="shared" si="14"/>
        <v>667.24365740908001</v>
      </c>
      <c r="AF11" s="15">
        <f t="shared" si="14"/>
        <v>719.09289398317082</v>
      </c>
      <c r="AG11" s="15">
        <f t="shared" si="14"/>
        <v>729.96062292300257</v>
      </c>
      <c r="AH11" s="15">
        <f t="shared" si="14"/>
        <v>741.11702915223259</v>
      </c>
      <c r="AI11" s="15">
        <f t="shared" si="14"/>
        <v>752.57039944375492</v>
      </c>
      <c r="AJ11" s="15">
        <f t="shared" si="14"/>
        <v>764.32926543819246</v>
      </c>
      <c r="AK11" s="15">
        <f t="shared" si="14"/>
        <v>776.4024109525742</v>
      </c>
    </row>
    <row r="12" spans="1:42" s="1" customFormat="1" x14ac:dyDescent="0.2">
      <c r="B12" s="1" t="s">
        <v>32</v>
      </c>
      <c r="C12" s="15">
        <f t="shared" ref="C12" si="15">+C4+C5</f>
        <v>50.002000000000002</v>
      </c>
      <c r="D12" s="15">
        <f t="shared" ref="D12:O12" si="16">+D4+D5</f>
        <v>57.032000000000004</v>
      </c>
      <c r="E12" s="15">
        <f t="shared" si="16"/>
        <v>56.720999999999997</v>
      </c>
      <c r="F12" s="15">
        <f t="shared" si="16"/>
        <v>72.961000000000013</v>
      </c>
      <c r="G12" s="15">
        <f t="shared" si="16"/>
        <v>54.787999999999997</v>
      </c>
      <c r="H12" s="15">
        <f t="shared" si="16"/>
        <v>66.13</v>
      </c>
      <c r="I12" s="15">
        <f t="shared" si="16"/>
        <v>55.702999999999996</v>
      </c>
      <c r="J12" s="15">
        <f t="shared" si="16"/>
        <v>75.73599999999999</v>
      </c>
      <c r="K12" s="15">
        <f t="shared" si="16"/>
        <v>46.344000000000001</v>
      </c>
      <c r="L12" s="15">
        <f t="shared" si="16"/>
        <v>73.221000000000004</v>
      </c>
      <c r="M12" s="15">
        <f t="shared" si="16"/>
        <v>62.243000000000002</v>
      </c>
      <c r="N12" s="15">
        <f t="shared" si="16"/>
        <v>93.007000000000005</v>
      </c>
      <c r="O12" s="15">
        <f t="shared" si="16"/>
        <v>47.785000000000004</v>
      </c>
      <c r="P12" s="15">
        <f t="shared" ref="P12:R12" si="17">+P4+P5</f>
        <v>48.785000000000004</v>
      </c>
      <c r="Q12" s="15">
        <f t="shared" si="17"/>
        <v>49.785000000000004</v>
      </c>
      <c r="R12" s="15">
        <f t="shared" si="17"/>
        <v>50.785000000000004</v>
      </c>
      <c r="X12" s="15">
        <f t="shared" ref="X12" si="18">+X4+X5</f>
        <v>236.71600000000001</v>
      </c>
      <c r="Y12" s="15">
        <f t="shared" ref="Y12" si="19">+Y4+Y5</f>
        <v>252.35699999999997</v>
      </c>
      <c r="Z12" s="15">
        <f t="shared" ref="Z12:AA12" si="20">+Z4+Z5</f>
        <v>274.815</v>
      </c>
      <c r="AA12" s="15">
        <f t="shared" si="20"/>
        <v>197.14000000000001</v>
      </c>
      <c r="AB12" s="15">
        <f t="shared" ref="AB12:AK12" si="21">+AB4+AB5</f>
        <v>197.14000000000001</v>
      </c>
      <c r="AC12" s="15">
        <f t="shared" si="21"/>
        <v>197.14000000000001</v>
      </c>
      <c r="AD12" s="15">
        <f t="shared" si="21"/>
        <v>197.14000000000001</v>
      </c>
      <c r="AE12" s="15">
        <f t="shared" si="21"/>
        <v>197.14000000000001</v>
      </c>
      <c r="AF12" s="15">
        <f t="shared" si="21"/>
        <v>197.14000000000001</v>
      </c>
      <c r="AG12" s="15">
        <f t="shared" si="21"/>
        <v>197.14000000000001</v>
      </c>
      <c r="AH12" s="15">
        <f t="shared" si="21"/>
        <v>197.14000000000001</v>
      </c>
      <c r="AI12" s="15">
        <f t="shared" si="21"/>
        <v>197.14000000000001</v>
      </c>
      <c r="AJ12" s="15">
        <f t="shared" si="21"/>
        <v>197.14000000000001</v>
      </c>
      <c r="AK12" s="15">
        <f t="shared" si="21"/>
        <v>197.14000000000001</v>
      </c>
    </row>
    <row r="13" spans="1:42" s="1" customFormat="1" x14ac:dyDescent="0.2">
      <c r="B13" s="1" t="s">
        <v>33</v>
      </c>
      <c r="C13" s="15">
        <v>3.2490000000000001</v>
      </c>
      <c r="D13" s="15">
        <v>1.4790000000000001</v>
      </c>
      <c r="E13" s="15">
        <v>1.4790000000000001</v>
      </c>
      <c r="F13" s="15">
        <v>1.4790000000000001</v>
      </c>
      <c r="G13" s="15">
        <v>1.4790000000000001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">
        <v>0</v>
      </c>
      <c r="P13" s="1">
        <v>0</v>
      </c>
      <c r="Q13" s="1">
        <v>0</v>
      </c>
      <c r="R13" s="1">
        <v>0</v>
      </c>
      <c r="X13" s="1">
        <f t="shared" ref="X13" si="22">SUM(I13:L13)</f>
        <v>0</v>
      </c>
      <c r="Y13" s="1">
        <f t="shared" ref="Y13" si="23">SUM(J13:M13)</f>
        <v>0</v>
      </c>
      <c r="Z13" s="1">
        <f t="shared" si="11"/>
        <v>0</v>
      </c>
      <c r="AA13" s="1">
        <f t="shared" ref="AA13" si="24">SUM(L13:O13)</f>
        <v>0</v>
      </c>
      <c r="AB13" s="1">
        <f t="shared" ref="AB13" si="25">SUM(M13:P13)</f>
        <v>0</v>
      </c>
      <c r="AC13" s="1">
        <f t="shared" ref="AC13" si="26">SUM(N13:Q13)</f>
        <v>0</v>
      </c>
      <c r="AD13" s="1">
        <f t="shared" ref="AD13" si="27">SUM(O13:R13)</f>
        <v>0</v>
      </c>
      <c r="AE13" s="1">
        <f t="shared" ref="AE13" si="28">SUM(P13:S13)</f>
        <v>0</v>
      </c>
      <c r="AF13" s="1">
        <f t="shared" ref="AF13" si="29">SUM(Q13:T13)</f>
        <v>0</v>
      </c>
      <c r="AG13" s="1">
        <f t="shared" ref="AG13" si="30">SUM(R13:U13)</f>
        <v>0</v>
      </c>
      <c r="AH13" s="1">
        <f t="shared" ref="AH13" si="31">SUM(S13:V13)</f>
        <v>0</v>
      </c>
      <c r="AI13" s="1">
        <f t="shared" ref="AI13" si="32">SUM(T13:W13)</f>
        <v>0</v>
      </c>
      <c r="AJ13" s="1">
        <f t="shared" ref="AJ13" si="33">SUM(U13:X13)</f>
        <v>0</v>
      </c>
      <c r="AK13" s="1">
        <f t="shared" ref="AK13" si="34">SUM(V13:Y13)</f>
        <v>0</v>
      </c>
    </row>
    <row r="14" spans="1:42" s="16" customFormat="1" x14ac:dyDescent="0.2">
      <c r="B14" s="16" t="s">
        <v>34</v>
      </c>
      <c r="C14" s="17">
        <f t="shared" ref="C14:D14" si="35">SUM(C11:C13)</f>
        <v>79.935000000000002</v>
      </c>
      <c r="D14" s="17">
        <f t="shared" si="35"/>
        <v>89.343000000000004</v>
      </c>
      <c r="E14" s="17">
        <f t="shared" ref="E14:I14" si="36">SUM(E11:E13)</f>
        <v>90.702999999999989</v>
      </c>
      <c r="F14" s="17">
        <f t="shared" si="36"/>
        <v>103.34800000000001</v>
      </c>
      <c r="G14" s="17">
        <f t="shared" si="36"/>
        <v>100.49600000000001</v>
      </c>
      <c r="H14" s="17">
        <f t="shared" ref="H14:K14" si="37">SUM(H11:H13)</f>
        <v>108.309</v>
      </c>
      <c r="I14" s="17">
        <f t="shared" si="36"/>
        <v>98.051999999999992</v>
      </c>
      <c r="J14" s="17">
        <f t="shared" si="37"/>
        <v>127.392</v>
      </c>
      <c r="K14" s="17">
        <f t="shared" si="37"/>
        <v>108.833</v>
      </c>
      <c r="L14" s="17">
        <f t="shared" ref="L14:R14" si="38">SUM(L11:L13)</f>
        <v>147.02600000000001</v>
      </c>
      <c r="M14" s="17">
        <f t="shared" si="38"/>
        <v>139.494</v>
      </c>
      <c r="N14" s="17">
        <f t="shared" si="38"/>
        <v>164.87700000000001</v>
      </c>
      <c r="O14" s="17">
        <f t="shared" si="38"/>
        <v>139.292</v>
      </c>
      <c r="P14" s="17">
        <f t="shared" si="38"/>
        <v>147.292</v>
      </c>
      <c r="Q14" s="17">
        <f t="shared" si="38"/>
        <v>156.292</v>
      </c>
      <c r="R14" s="17">
        <f t="shared" si="38"/>
        <v>164.292</v>
      </c>
      <c r="X14" s="17">
        <f t="shared" ref="X14" si="39">SUM(X11:X13)</f>
        <v>355.64300000000003</v>
      </c>
      <c r="Y14" s="17">
        <f t="shared" ref="Y14" si="40">SUM(Y11:Y13)</f>
        <v>432.77</v>
      </c>
      <c r="Z14" s="17">
        <f>SUM(Z11:Z13)</f>
        <v>560.23</v>
      </c>
      <c r="AA14" s="17">
        <f>SUM(AA11:AA13)</f>
        <v>607.16800000000001</v>
      </c>
      <c r="AB14" s="17">
        <f t="shared" ref="AB14:AK14" si="41">SUM(AB11:AB13)</f>
        <v>708.94508000000008</v>
      </c>
      <c r="AC14" s="17">
        <f t="shared" si="41"/>
        <v>760.73993080000002</v>
      </c>
      <c r="AD14" s="17">
        <f t="shared" si="41"/>
        <v>812.55273010799999</v>
      </c>
      <c r="AE14" s="17">
        <f t="shared" si="41"/>
        <v>864.38365740908</v>
      </c>
      <c r="AF14" s="17">
        <f t="shared" si="41"/>
        <v>916.23289398317081</v>
      </c>
      <c r="AG14" s="17">
        <f t="shared" si="41"/>
        <v>927.10062292300256</v>
      </c>
      <c r="AH14" s="17">
        <f t="shared" si="41"/>
        <v>938.25702915223258</v>
      </c>
      <c r="AI14" s="17">
        <f t="shared" si="41"/>
        <v>949.71039944375491</v>
      </c>
      <c r="AJ14" s="17">
        <f t="shared" si="41"/>
        <v>961.46926543819245</v>
      </c>
      <c r="AK14" s="17">
        <f t="shared" si="41"/>
        <v>973.54241095257419</v>
      </c>
    </row>
    <row r="15" spans="1:42" s="1" customFormat="1" x14ac:dyDescent="0.2">
      <c r="B15" s="1" t="s">
        <v>48</v>
      </c>
      <c r="C15" s="15">
        <v>6.1</v>
      </c>
      <c r="D15" s="15">
        <v>8.27</v>
      </c>
      <c r="E15" s="15">
        <v>8.6310000000000002</v>
      </c>
      <c r="F15" s="15">
        <v>5.319</v>
      </c>
      <c r="G15" s="15">
        <v>12.257</v>
      </c>
      <c r="H15" s="15">
        <v>9.9139999999999997</v>
      </c>
      <c r="I15" s="15">
        <v>10.987</v>
      </c>
      <c r="J15" s="15">
        <v>12.051</v>
      </c>
      <c r="K15" s="15">
        <v>17.533000000000001</v>
      </c>
      <c r="L15" s="15">
        <v>21.28</v>
      </c>
      <c r="M15" s="15">
        <v>21.021000000000001</v>
      </c>
      <c r="N15" s="15">
        <v>16.893999999999998</v>
      </c>
      <c r="O15" s="1">
        <v>28.661999999999999</v>
      </c>
      <c r="P15" s="1">
        <f>+P14*0.1</f>
        <v>14.729200000000001</v>
      </c>
      <c r="Q15" s="1">
        <f>+Q14*0.1</f>
        <v>15.629200000000001</v>
      </c>
      <c r="R15" s="1">
        <f>+R14*0.1</f>
        <v>16.429200000000002</v>
      </c>
      <c r="X15" s="1">
        <f t="shared" ref="X15" si="42">SUM(C15:F15)</f>
        <v>28.319999999999997</v>
      </c>
      <c r="Y15" s="1">
        <f t="shared" ref="Y15" si="43">SUM(G15:J15)</f>
        <v>45.209000000000003</v>
      </c>
      <c r="Z15" s="1">
        <f>SUM(K15:N15)</f>
        <v>76.728000000000009</v>
      </c>
      <c r="AA15" s="1">
        <f>+AA14*0.1</f>
        <v>60.716800000000006</v>
      </c>
      <c r="AB15" s="1">
        <f t="shared" ref="AB15:AK15" si="44">+AB14*0.1</f>
        <v>70.894508000000016</v>
      </c>
      <c r="AC15" s="1">
        <f t="shared" si="44"/>
        <v>76.073993080000008</v>
      </c>
      <c r="AD15" s="1">
        <f t="shared" si="44"/>
        <v>81.255273010800011</v>
      </c>
      <c r="AE15" s="1">
        <f t="shared" si="44"/>
        <v>86.438365740908012</v>
      </c>
      <c r="AF15" s="1">
        <f t="shared" si="44"/>
        <v>91.623289398317084</v>
      </c>
      <c r="AG15" s="1">
        <f t="shared" si="44"/>
        <v>92.710062292300265</v>
      </c>
      <c r="AH15" s="1">
        <f t="shared" si="44"/>
        <v>93.82570291522326</v>
      </c>
      <c r="AI15" s="1">
        <f t="shared" si="44"/>
        <v>94.971039944375491</v>
      </c>
      <c r="AJ15" s="1">
        <f t="shared" si="44"/>
        <v>96.146926543819248</v>
      </c>
      <c r="AK15" s="1">
        <f t="shared" si="44"/>
        <v>97.354241095257422</v>
      </c>
    </row>
    <row r="16" spans="1:42" s="1" customFormat="1" x14ac:dyDescent="0.2">
      <c r="B16" s="1" t="s">
        <v>49</v>
      </c>
      <c r="C16" s="15">
        <f t="shared" ref="C16:L16" si="45">+C14-C15</f>
        <v>73.835000000000008</v>
      </c>
      <c r="D16" s="15">
        <f t="shared" si="45"/>
        <v>81.073000000000008</v>
      </c>
      <c r="E16" s="15">
        <f t="shared" si="45"/>
        <v>82.071999999999989</v>
      </c>
      <c r="F16" s="15">
        <f t="shared" si="45"/>
        <v>98.029000000000011</v>
      </c>
      <c r="G16" s="15">
        <f t="shared" si="45"/>
        <v>88.239000000000004</v>
      </c>
      <c r="H16" s="15">
        <f t="shared" si="45"/>
        <v>98.394999999999996</v>
      </c>
      <c r="I16" s="15">
        <f t="shared" si="45"/>
        <v>87.064999999999998</v>
      </c>
      <c r="J16" s="15">
        <f t="shared" si="45"/>
        <v>115.34099999999999</v>
      </c>
      <c r="K16" s="15">
        <f t="shared" si="45"/>
        <v>91.3</v>
      </c>
      <c r="L16" s="15">
        <f t="shared" si="45"/>
        <v>125.74600000000001</v>
      </c>
      <c r="M16" s="15">
        <f t="shared" ref="M16" si="46">+M14-M15</f>
        <v>118.473</v>
      </c>
      <c r="N16" s="15">
        <f t="shared" ref="N16" si="47">+N14-N15</f>
        <v>147.983</v>
      </c>
      <c r="O16" s="15">
        <f t="shared" ref="O16" si="48">+O14-O15</f>
        <v>110.63</v>
      </c>
      <c r="P16" s="15">
        <f t="shared" ref="P16" si="49">+P14-P15</f>
        <v>132.56280000000001</v>
      </c>
      <c r="Q16" s="15">
        <f t="shared" ref="Q16" si="50">+Q14-Q15</f>
        <v>140.6628</v>
      </c>
      <c r="R16" s="15">
        <f t="shared" ref="R16" si="51">+R14-R15</f>
        <v>147.86279999999999</v>
      </c>
      <c r="X16" s="1">
        <f>+X14-X15</f>
        <v>327.32300000000004</v>
      </c>
      <c r="Y16" s="1">
        <f>+Y14-Y15</f>
        <v>387.56099999999998</v>
      </c>
      <c r="Z16" s="1">
        <f>+Z14-Z15</f>
        <v>483.50200000000001</v>
      </c>
      <c r="AA16" s="1">
        <f>+AA14-AA15</f>
        <v>546.45119999999997</v>
      </c>
      <c r="AB16" s="1">
        <f t="shared" ref="AB16:AK16" si="52">+AB14-AB15</f>
        <v>638.0505720000001</v>
      </c>
      <c r="AC16" s="1">
        <f t="shared" si="52"/>
        <v>684.66593771999999</v>
      </c>
      <c r="AD16" s="1">
        <f t="shared" si="52"/>
        <v>731.29745709719998</v>
      </c>
      <c r="AE16" s="1">
        <f t="shared" si="52"/>
        <v>777.94529166817199</v>
      </c>
      <c r="AF16" s="1">
        <f t="shared" si="52"/>
        <v>824.60960458485374</v>
      </c>
      <c r="AG16" s="1">
        <f t="shared" si="52"/>
        <v>834.39056063070234</v>
      </c>
      <c r="AH16" s="1">
        <f t="shared" si="52"/>
        <v>844.43132623700933</v>
      </c>
      <c r="AI16" s="1">
        <f t="shared" si="52"/>
        <v>854.73935949937936</v>
      </c>
      <c r="AJ16" s="1">
        <f t="shared" si="52"/>
        <v>865.32233889437316</v>
      </c>
      <c r="AK16" s="1">
        <f t="shared" si="52"/>
        <v>876.18816985731678</v>
      </c>
    </row>
    <row r="17" spans="2:101" s="1" customFormat="1" x14ac:dyDescent="0.2">
      <c r="B17" s="1" t="s">
        <v>50</v>
      </c>
      <c r="C17" s="15">
        <v>143.155</v>
      </c>
      <c r="D17" s="15">
        <v>154.529</v>
      </c>
      <c r="E17" s="15">
        <v>237.297</v>
      </c>
      <c r="F17" s="15">
        <v>170.80799999999999</v>
      </c>
      <c r="G17" s="15">
        <v>164.94900000000001</v>
      </c>
      <c r="H17" s="15">
        <v>164.94900000000001</v>
      </c>
      <c r="I17" s="15">
        <v>157.245</v>
      </c>
      <c r="J17" s="15">
        <v>160.55699999999999</v>
      </c>
      <c r="K17" s="15">
        <v>178.48699999999999</v>
      </c>
      <c r="L17" s="15">
        <v>161.50299999999999</v>
      </c>
      <c r="M17" s="15">
        <v>170.10900000000001</v>
      </c>
      <c r="N17" s="15">
        <v>187.76599999999999</v>
      </c>
      <c r="O17" s="1">
        <v>165.77199999999999</v>
      </c>
      <c r="P17" s="1">
        <f>+L17</f>
        <v>161.50299999999999</v>
      </c>
      <c r="Q17" s="1">
        <f t="shared" ref="Q17:Q18" si="53">+M17</f>
        <v>170.10900000000001</v>
      </c>
      <c r="R17" s="1">
        <f t="shared" ref="R17:R18" si="54">+N17</f>
        <v>187.76599999999999</v>
      </c>
      <c r="X17" s="1">
        <f t="shared" ref="X17:X18" si="55">SUM(C17:F17)</f>
        <v>705.78899999999999</v>
      </c>
      <c r="Y17" s="1">
        <f t="shared" ref="Y17:Y18" si="56">SUM(G17:J17)</f>
        <v>647.70000000000005</v>
      </c>
      <c r="Z17" s="1">
        <f>SUM(K17:N17)</f>
        <v>697.86500000000001</v>
      </c>
      <c r="AA17" s="1">
        <f t="shared" ref="AA17:AA18" si="57">SUM(O17:R17)</f>
        <v>685.15</v>
      </c>
      <c r="AB17" s="1">
        <f>+AA17*0.9</f>
        <v>616.63499999999999</v>
      </c>
      <c r="AC17" s="1">
        <f t="shared" ref="AC17:AK17" si="58">+AB17*0.9</f>
        <v>554.97149999999999</v>
      </c>
      <c r="AD17" s="1">
        <f t="shared" si="58"/>
        <v>499.47435000000002</v>
      </c>
      <c r="AE17" s="1">
        <f t="shared" si="58"/>
        <v>449.52691500000003</v>
      </c>
      <c r="AF17" s="1">
        <f t="shared" si="58"/>
        <v>404.57422350000002</v>
      </c>
      <c r="AG17" s="1">
        <f t="shared" si="58"/>
        <v>364.11680115000001</v>
      </c>
      <c r="AH17" s="1">
        <f t="shared" si="58"/>
        <v>327.70512103500005</v>
      </c>
      <c r="AI17" s="1">
        <f t="shared" si="58"/>
        <v>294.93460893150007</v>
      </c>
      <c r="AJ17" s="1">
        <f t="shared" si="58"/>
        <v>265.44114803835009</v>
      </c>
      <c r="AK17" s="1">
        <f t="shared" si="58"/>
        <v>238.89703323451508</v>
      </c>
    </row>
    <row r="18" spans="2:101" s="1" customFormat="1" x14ac:dyDescent="0.2">
      <c r="B18" s="1" t="s">
        <v>51</v>
      </c>
      <c r="C18" s="15">
        <v>67.311999999999998</v>
      </c>
      <c r="D18" s="15">
        <v>68.137</v>
      </c>
      <c r="E18" s="15">
        <v>69.840999999999994</v>
      </c>
      <c r="F18" s="15">
        <v>72.849000000000004</v>
      </c>
      <c r="G18" s="15"/>
      <c r="H18" s="15">
        <v>81.403000000000006</v>
      </c>
      <c r="I18" s="15">
        <v>74.917000000000002</v>
      </c>
      <c r="J18" s="15">
        <v>76.832999999999998</v>
      </c>
      <c r="K18" s="15">
        <v>78.16</v>
      </c>
      <c r="L18" s="15">
        <v>80.603999999999999</v>
      </c>
      <c r="M18" s="15">
        <v>80.350999999999999</v>
      </c>
      <c r="N18" s="15">
        <v>82.495000000000005</v>
      </c>
      <c r="O18" s="1">
        <v>87.796999999999997</v>
      </c>
      <c r="P18" s="1">
        <f t="shared" ref="P18" si="59">+L18</f>
        <v>80.603999999999999</v>
      </c>
      <c r="Q18" s="1">
        <f t="shared" si="53"/>
        <v>80.350999999999999</v>
      </c>
      <c r="R18" s="1">
        <f t="shared" si="54"/>
        <v>82.495000000000005</v>
      </c>
      <c r="X18" s="1">
        <f t="shared" si="55"/>
        <v>278.13900000000001</v>
      </c>
      <c r="Y18" s="1">
        <f t="shared" si="56"/>
        <v>233.15299999999999</v>
      </c>
      <c r="Z18" s="1">
        <f>SUM(K18:N18)</f>
        <v>321.61</v>
      </c>
      <c r="AA18" s="1">
        <f t="shared" si="57"/>
        <v>331.24700000000001</v>
      </c>
      <c r="AB18" s="1">
        <f t="shared" ref="AB18:AK18" si="60">+AA18*0.9</f>
        <v>298.1223</v>
      </c>
      <c r="AC18" s="1">
        <f t="shared" si="60"/>
        <v>268.31007</v>
      </c>
      <c r="AD18" s="1">
        <f t="shared" si="60"/>
        <v>241.479063</v>
      </c>
      <c r="AE18" s="1">
        <f t="shared" si="60"/>
        <v>217.33115670000001</v>
      </c>
      <c r="AF18" s="1">
        <f t="shared" si="60"/>
        <v>195.59804103000002</v>
      </c>
      <c r="AG18" s="1">
        <f t="shared" si="60"/>
        <v>176.03823692700001</v>
      </c>
      <c r="AH18" s="1">
        <f t="shared" si="60"/>
        <v>158.43441323430002</v>
      </c>
      <c r="AI18" s="1">
        <f t="shared" si="60"/>
        <v>142.59097191087002</v>
      </c>
      <c r="AJ18" s="1">
        <f t="shared" si="60"/>
        <v>128.33187471978303</v>
      </c>
      <c r="AK18" s="1">
        <f t="shared" si="60"/>
        <v>115.49868724780472</v>
      </c>
    </row>
    <row r="19" spans="2:101" s="1" customFormat="1" x14ac:dyDescent="0.2">
      <c r="B19" s="1" t="s">
        <v>46</v>
      </c>
      <c r="C19" s="15">
        <f t="shared" ref="C19:K19" si="61">+C17+C18</f>
        <v>210.46699999999998</v>
      </c>
      <c r="D19" s="15">
        <f t="shared" ref="D19" si="62">+D17+D18</f>
        <v>222.666</v>
      </c>
      <c r="E19" s="15">
        <f t="shared" si="61"/>
        <v>307.13799999999998</v>
      </c>
      <c r="F19" s="15">
        <f t="shared" si="61"/>
        <v>243.65699999999998</v>
      </c>
      <c r="G19" s="15">
        <f>+G17+G18</f>
        <v>164.94900000000001</v>
      </c>
      <c r="H19" s="15">
        <f>+H17+H18</f>
        <v>246.35200000000003</v>
      </c>
      <c r="I19" s="15">
        <f t="shared" si="61"/>
        <v>232.16200000000001</v>
      </c>
      <c r="J19" s="15">
        <f t="shared" si="61"/>
        <v>237.39</v>
      </c>
      <c r="K19" s="15">
        <f t="shared" si="61"/>
        <v>256.64699999999999</v>
      </c>
      <c r="L19" s="15">
        <f>+L17+L18</f>
        <v>242.10699999999997</v>
      </c>
      <c r="M19" s="15">
        <f t="shared" ref="M19:R19" si="63">+M17+M18</f>
        <v>250.46</v>
      </c>
      <c r="N19" s="15">
        <f t="shared" si="63"/>
        <v>270.26099999999997</v>
      </c>
      <c r="O19" s="15">
        <f t="shared" si="63"/>
        <v>253.56899999999999</v>
      </c>
      <c r="P19" s="15">
        <f t="shared" si="63"/>
        <v>242.10699999999997</v>
      </c>
      <c r="Q19" s="15">
        <f t="shared" si="63"/>
        <v>250.46</v>
      </c>
      <c r="R19" s="15">
        <f t="shared" si="63"/>
        <v>270.26099999999997</v>
      </c>
      <c r="X19" s="15">
        <f t="shared" ref="X19" si="64">+X17+X18</f>
        <v>983.928</v>
      </c>
      <c r="Y19" s="15">
        <f t="shared" ref="Y19" si="65">+Y17+Y18</f>
        <v>880.85300000000007</v>
      </c>
      <c r="Z19" s="15">
        <f t="shared" ref="Z19" si="66">+Z17+Z18</f>
        <v>1019.475</v>
      </c>
      <c r="AA19" s="15">
        <f t="shared" ref="AA19" si="67">+AA17+AA18</f>
        <v>1016.3969999999999</v>
      </c>
      <c r="AB19" s="15">
        <f t="shared" ref="AB19" si="68">+AB17+AB18</f>
        <v>914.75729999999999</v>
      </c>
      <c r="AC19" s="15">
        <f t="shared" ref="AC19" si="69">+AC17+AC18</f>
        <v>823.28156999999999</v>
      </c>
      <c r="AD19" s="15">
        <f t="shared" ref="AD19" si="70">+AD17+AD18</f>
        <v>740.95341299999995</v>
      </c>
      <c r="AE19" s="15">
        <f t="shared" ref="AE19" si="71">+AE17+AE18</f>
        <v>666.85807169999998</v>
      </c>
      <c r="AF19" s="15">
        <f t="shared" ref="AF19" si="72">+AF17+AF18</f>
        <v>600.17226453000001</v>
      </c>
      <c r="AG19" s="15">
        <f t="shared" ref="AG19" si="73">+AG17+AG18</f>
        <v>540.15503807699997</v>
      </c>
      <c r="AH19" s="15">
        <f t="shared" ref="AH19" si="74">+AH17+AH18</f>
        <v>486.13953426930004</v>
      </c>
      <c r="AI19" s="15">
        <f t="shared" ref="AI19" si="75">+AI17+AI18</f>
        <v>437.52558084237012</v>
      </c>
      <c r="AJ19" s="15">
        <f t="shared" ref="AJ19" si="76">+AJ17+AJ18</f>
        <v>393.77302275813315</v>
      </c>
      <c r="AK19" s="15">
        <f t="shared" ref="AK19" si="77">+AK17+AK18</f>
        <v>354.3957204823198</v>
      </c>
    </row>
    <row r="20" spans="2:101" s="1" customFormat="1" x14ac:dyDescent="0.2">
      <c r="B20" s="1" t="s">
        <v>47</v>
      </c>
      <c r="C20" s="15">
        <f t="shared" ref="C20:K20" si="78">+C16-C19</f>
        <v>-136.63199999999998</v>
      </c>
      <c r="D20" s="15">
        <f t="shared" ref="D20" si="79">+D16-D19</f>
        <v>-141.59299999999999</v>
      </c>
      <c r="E20" s="15">
        <f t="shared" si="78"/>
        <v>-225.06599999999997</v>
      </c>
      <c r="F20" s="15">
        <f t="shared" si="78"/>
        <v>-145.62799999999999</v>
      </c>
      <c r="G20" s="15">
        <f>+G16-G19</f>
        <v>-76.710000000000008</v>
      </c>
      <c r="H20" s="15">
        <f>+H16-H19</f>
        <v>-147.95700000000005</v>
      </c>
      <c r="I20" s="15">
        <f t="shared" si="78"/>
        <v>-145.09700000000001</v>
      </c>
      <c r="J20" s="15">
        <f t="shared" si="78"/>
        <v>-122.04899999999999</v>
      </c>
      <c r="K20" s="15">
        <f t="shared" si="78"/>
        <v>-165.34699999999998</v>
      </c>
      <c r="L20" s="15">
        <f>+L16-L19</f>
        <v>-116.36099999999996</v>
      </c>
      <c r="M20" s="15">
        <f t="shared" ref="M20:R20" si="80">+M16-M19</f>
        <v>-131.98700000000002</v>
      </c>
      <c r="N20" s="15">
        <f t="shared" si="80"/>
        <v>-122.27799999999996</v>
      </c>
      <c r="O20" s="15">
        <f t="shared" si="80"/>
        <v>-142.93899999999999</v>
      </c>
      <c r="P20" s="15">
        <f t="shared" si="80"/>
        <v>-109.54419999999996</v>
      </c>
      <c r="Q20" s="15">
        <f t="shared" si="80"/>
        <v>-109.7972</v>
      </c>
      <c r="R20" s="15">
        <f t="shared" si="80"/>
        <v>-122.39819999999997</v>
      </c>
      <c r="X20" s="15">
        <f t="shared" ref="X20" si="81">+X16-X19</f>
        <v>-656.60500000000002</v>
      </c>
      <c r="Y20" s="15">
        <f t="shared" ref="Y20" si="82">+Y16-Y19</f>
        <v>-493.29200000000009</v>
      </c>
      <c r="Z20" s="15">
        <f t="shared" ref="Z20" si="83">+Z16-Z19</f>
        <v>-535.97299999999996</v>
      </c>
      <c r="AA20" s="15">
        <f t="shared" ref="AA20" si="84">+AA16-AA19</f>
        <v>-469.94579999999996</v>
      </c>
      <c r="AB20" s="15">
        <f t="shared" ref="AB20" si="85">+AB16-AB19</f>
        <v>-276.70672799999988</v>
      </c>
      <c r="AC20" s="15">
        <f t="shared" ref="AC20" si="86">+AC16-AC19</f>
        <v>-138.61563228</v>
      </c>
      <c r="AD20" s="15">
        <f t="shared" ref="AD20" si="87">+AD16-AD19</f>
        <v>-9.655955902799974</v>
      </c>
      <c r="AE20" s="15">
        <f t="shared" ref="AE20" si="88">+AE16-AE19</f>
        <v>111.08721996817201</v>
      </c>
      <c r="AF20" s="15">
        <f t="shared" ref="AF20" si="89">+AF16-AF19</f>
        <v>224.43734005485373</v>
      </c>
      <c r="AG20" s="15">
        <f t="shared" ref="AG20" si="90">+AG16-AG19</f>
        <v>294.23552255370237</v>
      </c>
      <c r="AH20" s="15">
        <f t="shared" ref="AH20" si="91">+AH16-AH19</f>
        <v>358.29179196770929</v>
      </c>
      <c r="AI20" s="15">
        <f t="shared" ref="AI20" si="92">+AI16-AI19</f>
        <v>417.21377865700924</v>
      </c>
      <c r="AJ20" s="15">
        <f t="shared" ref="AJ20" si="93">+AJ16-AJ19</f>
        <v>471.54931613624001</v>
      </c>
      <c r="AK20" s="15">
        <f t="shared" ref="AK20" si="94">+AK16-AK19</f>
        <v>521.79244937499698</v>
      </c>
    </row>
    <row r="21" spans="2:101" s="1" customFormat="1" x14ac:dyDescent="0.2">
      <c r="B21" s="1" t="s">
        <v>56</v>
      </c>
      <c r="C21" s="15">
        <v>0.78300000000000003</v>
      </c>
      <c r="D21" s="15">
        <v>-3.1E-2</v>
      </c>
      <c r="E21" s="15">
        <v>2.3780000000000001</v>
      </c>
      <c r="F21" s="15">
        <v>6.3780000000000001</v>
      </c>
      <c r="G21" s="15">
        <v>3.9750000000000001</v>
      </c>
      <c r="H21" s="15">
        <f>-15.375+3.975</f>
        <v>-11.4</v>
      </c>
      <c r="I21" s="15">
        <v>5.1820000000000004</v>
      </c>
      <c r="J21" s="15">
        <v>10.596</v>
      </c>
      <c r="K21" s="15">
        <v>7.2190000000000003</v>
      </c>
      <c r="L21" s="15">
        <v>5.5720000000000001</v>
      </c>
      <c r="M21" s="15">
        <v>13.808</v>
      </c>
      <c r="N21" s="15">
        <v>5.944</v>
      </c>
      <c r="O21" s="1">
        <v>7.6680000000000001</v>
      </c>
      <c r="P21" s="1">
        <f>+O21</f>
        <v>7.6680000000000001</v>
      </c>
      <c r="Q21" s="1">
        <f>+P21</f>
        <v>7.6680000000000001</v>
      </c>
      <c r="R21" s="1">
        <f>+Q21</f>
        <v>7.6680000000000001</v>
      </c>
      <c r="X21" s="1">
        <f t="shared" ref="X21" si="95">SUM(C21:F21)</f>
        <v>9.5079999999999991</v>
      </c>
      <c r="Y21" s="1">
        <f t="shared" ref="Y21" si="96">SUM(G21:J21)</f>
        <v>8.3529999999999998</v>
      </c>
      <c r="Z21" s="1">
        <f>SUM(K21:N21)</f>
        <v>32.542999999999999</v>
      </c>
      <c r="AA21" s="1">
        <f>SUM(O21:R21)</f>
        <v>30.672000000000001</v>
      </c>
      <c r="AB21" s="1">
        <f>+AA21</f>
        <v>30.672000000000001</v>
      </c>
      <c r="AC21" s="1">
        <f t="shared" ref="AC21:AK21" si="97">+AB21</f>
        <v>30.672000000000001</v>
      </c>
      <c r="AD21" s="1">
        <f t="shared" si="97"/>
        <v>30.672000000000001</v>
      </c>
      <c r="AE21" s="1">
        <f t="shared" si="97"/>
        <v>30.672000000000001</v>
      </c>
      <c r="AF21" s="1">
        <f t="shared" si="97"/>
        <v>30.672000000000001</v>
      </c>
      <c r="AG21" s="1">
        <f t="shared" si="97"/>
        <v>30.672000000000001</v>
      </c>
      <c r="AH21" s="1">
        <f t="shared" si="97"/>
        <v>30.672000000000001</v>
      </c>
      <c r="AI21" s="1">
        <f t="shared" si="97"/>
        <v>30.672000000000001</v>
      </c>
      <c r="AJ21" s="1">
        <f t="shared" si="97"/>
        <v>30.672000000000001</v>
      </c>
      <c r="AK21" s="1">
        <f t="shared" si="97"/>
        <v>30.672000000000001</v>
      </c>
    </row>
    <row r="22" spans="2:101" s="1" customFormat="1" x14ac:dyDescent="0.2">
      <c r="B22" s="1" t="s">
        <v>55</v>
      </c>
      <c r="C22" s="15">
        <f t="shared" ref="C22:L22" si="98">+C20+C21</f>
        <v>-135.84899999999999</v>
      </c>
      <c r="D22" s="15">
        <f t="shared" si="98"/>
        <v>-141.624</v>
      </c>
      <c r="E22" s="15">
        <f t="shared" si="98"/>
        <v>-222.68799999999999</v>
      </c>
      <c r="F22" s="15">
        <f t="shared" si="98"/>
        <v>-139.25</v>
      </c>
      <c r="G22" s="15">
        <f t="shared" si="98"/>
        <v>-72.735000000000014</v>
      </c>
      <c r="H22" s="15">
        <f t="shared" si="98"/>
        <v>-159.35700000000006</v>
      </c>
      <c r="I22" s="15">
        <f t="shared" si="98"/>
        <v>-139.91500000000002</v>
      </c>
      <c r="J22" s="15">
        <f t="shared" si="98"/>
        <v>-111.45299999999999</v>
      </c>
      <c r="K22" s="15">
        <f t="shared" si="98"/>
        <v>-158.12799999999999</v>
      </c>
      <c r="L22" s="15">
        <f t="shared" si="98"/>
        <v>-110.78899999999996</v>
      </c>
      <c r="M22" s="15">
        <f t="shared" ref="M22" si="99">+M20+M21</f>
        <v>-118.17900000000003</v>
      </c>
      <c r="N22" s="15">
        <f t="shared" ref="N22" si="100">+N20+N21</f>
        <v>-116.33399999999996</v>
      </c>
      <c r="O22" s="15">
        <f t="shared" ref="O22" si="101">+O20+O21</f>
        <v>-135.27099999999999</v>
      </c>
      <c r="P22" s="15">
        <f t="shared" ref="P22" si="102">+P20+P21</f>
        <v>-101.87619999999995</v>
      </c>
      <c r="Q22" s="15">
        <f t="shared" ref="Q22" si="103">+Q20+Q21</f>
        <v>-102.1292</v>
      </c>
      <c r="R22" s="15">
        <f t="shared" ref="R22" si="104">+R20+R21</f>
        <v>-114.73019999999997</v>
      </c>
      <c r="X22" s="15">
        <f t="shared" ref="X22" si="105">+X20+X21</f>
        <v>-647.09699999999998</v>
      </c>
      <c r="Y22" s="15">
        <f t="shared" ref="Y22" si="106">+Y20+Y21</f>
        <v>-484.93900000000008</v>
      </c>
      <c r="Z22" s="15">
        <f t="shared" ref="Z22" si="107">+Z20+Z21</f>
        <v>-503.42999999999995</v>
      </c>
      <c r="AA22" s="15">
        <f t="shared" ref="AA22" si="108">+AA20+AA21</f>
        <v>-439.27379999999994</v>
      </c>
      <c r="AB22" s="15">
        <f t="shared" ref="AB22" si="109">+AB20+AB21</f>
        <v>-246.03472799999989</v>
      </c>
      <c r="AC22" s="15">
        <f t="shared" ref="AC22" si="110">+AC20+AC21</f>
        <v>-107.94363228</v>
      </c>
      <c r="AD22" s="15">
        <f t="shared" ref="AD22" si="111">+AD20+AD21</f>
        <v>21.016044097200027</v>
      </c>
      <c r="AE22" s="15">
        <f t="shared" ref="AE22" si="112">+AE20+AE21</f>
        <v>141.759219968172</v>
      </c>
      <c r="AF22" s="15">
        <f t="shared" ref="AF22" si="113">+AF20+AF21</f>
        <v>255.10934005485373</v>
      </c>
      <c r="AG22" s="15">
        <f t="shared" ref="AG22" si="114">+AG20+AG21</f>
        <v>324.90752255370239</v>
      </c>
      <c r="AH22" s="15">
        <f t="shared" ref="AH22" si="115">+AH20+AH21</f>
        <v>388.96379196770931</v>
      </c>
      <c r="AI22" s="15">
        <f t="shared" ref="AI22" si="116">+AI20+AI21</f>
        <v>447.88577865700927</v>
      </c>
      <c r="AJ22" s="15">
        <f t="shared" ref="AJ22" si="117">+AJ20+AJ21</f>
        <v>502.22131613624003</v>
      </c>
      <c r="AK22" s="15">
        <f t="shared" ref="AK22" si="118">+AK20+AK21</f>
        <v>552.464449374997</v>
      </c>
    </row>
    <row r="23" spans="2:101" s="1" customFormat="1" x14ac:dyDescent="0.2">
      <c r="B23" s="1" t="s">
        <v>54</v>
      </c>
      <c r="C23" s="15">
        <v>0.55800000000000005</v>
      </c>
      <c r="D23" s="15">
        <v>0.30199999999999999</v>
      </c>
      <c r="E23" s="15">
        <v>6.2869999999999999</v>
      </c>
      <c r="F23" s="15">
        <v>-1.4510000000000001</v>
      </c>
      <c r="G23" s="15">
        <v>0.73199999999999998</v>
      </c>
      <c r="H23" s="15">
        <v>0.73199999999999998</v>
      </c>
      <c r="I23" s="15">
        <v>0.65</v>
      </c>
      <c r="J23" s="15">
        <v>-3.702</v>
      </c>
      <c r="K23" s="15">
        <v>0.45500000000000002</v>
      </c>
      <c r="L23" s="15">
        <v>0.85799999999999998</v>
      </c>
      <c r="M23" s="15">
        <v>-0.30299999999999999</v>
      </c>
      <c r="N23" s="15">
        <v>0</v>
      </c>
      <c r="O23" s="1">
        <v>0</v>
      </c>
      <c r="P23" s="1">
        <v>0</v>
      </c>
      <c r="Q23" s="1">
        <v>0</v>
      </c>
      <c r="R23" s="1">
        <v>0</v>
      </c>
      <c r="X23" s="1">
        <f t="shared" ref="X23" si="119">SUM(C23:F23)</f>
        <v>5.6959999999999997</v>
      </c>
      <c r="Y23" s="1">
        <f t="shared" ref="Y23" si="120">SUM(G23:J23)</f>
        <v>-1.5880000000000001</v>
      </c>
      <c r="Z23" s="1">
        <f>SUM(K23:N23)</f>
        <v>1.01</v>
      </c>
      <c r="AA23" s="1">
        <f>SUM(O23:R23)</f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</row>
    <row r="24" spans="2:101" s="1" customFormat="1" x14ac:dyDescent="0.2">
      <c r="B24" s="1" t="s">
        <v>53</v>
      </c>
      <c r="C24" s="15">
        <f t="shared" ref="C24:L24" si="121">+C22-C23</f>
        <v>-136.40699999999998</v>
      </c>
      <c r="D24" s="15">
        <f t="shared" si="121"/>
        <v>-141.92599999999999</v>
      </c>
      <c r="E24" s="15">
        <f t="shared" si="121"/>
        <v>-228.97499999999999</v>
      </c>
      <c r="F24" s="15">
        <f t="shared" si="121"/>
        <v>-137.79900000000001</v>
      </c>
      <c r="G24" s="15">
        <f t="shared" si="121"/>
        <v>-73.467000000000013</v>
      </c>
      <c r="H24" s="15">
        <f t="shared" si="121"/>
        <v>-160.08900000000006</v>
      </c>
      <c r="I24" s="15">
        <f t="shared" si="121"/>
        <v>-140.56500000000003</v>
      </c>
      <c r="J24" s="15">
        <f t="shared" si="121"/>
        <v>-107.75099999999999</v>
      </c>
      <c r="K24" s="15">
        <f t="shared" si="121"/>
        <v>-158.583</v>
      </c>
      <c r="L24" s="15">
        <f t="shared" si="121"/>
        <v>-111.64699999999996</v>
      </c>
      <c r="M24" s="15">
        <f t="shared" ref="M24" si="122">+M22-M23</f>
        <v>-117.87600000000003</v>
      </c>
      <c r="N24" s="15">
        <f t="shared" ref="N24" si="123">+N22-N23</f>
        <v>-116.33399999999996</v>
      </c>
      <c r="O24" s="15">
        <f t="shared" ref="O24" si="124">+O22-O23</f>
        <v>-135.27099999999999</v>
      </c>
      <c r="P24" s="15">
        <f t="shared" ref="P24" si="125">+P22-P23</f>
        <v>-101.87619999999995</v>
      </c>
      <c r="Q24" s="15">
        <f t="shared" ref="Q24" si="126">+Q22-Q23</f>
        <v>-102.1292</v>
      </c>
      <c r="R24" s="15">
        <f t="shared" ref="R24" si="127">+R22-R23</f>
        <v>-114.73019999999997</v>
      </c>
      <c r="X24" s="1">
        <f>+-X22-X23</f>
        <v>641.40099999999995</v>
      </c>
      <c r="Y24" s="1">
        <f>+-Y22-Y23</f>
        <v>486.5270000000001</v>
      </c>
      <c r="Z24" s="1">
        <f>+-Z22-Z23</f>
        <v>502.41999999999996</v>
      </c>
      <c r="AA24" s="1">
        <f>+-AA22-AA23</f>
        <v>439.27379999999994</v>
      </c>
      <c r="AB24" s="1">
        <f>+AB22-AB23</f>
        <v>-246.03472799999989</v>
      </c>
      <c r="AC24" s="1">
        <f t="shared" ref="AC24:AK24" si="128">+AC22-AC23</f>
        <v>-107.94363228</v>
      </c>
      <c r="AD24" s="1">
        <f t="shared" si="128"/>
        <v>21.016044097200027</v>
      </c>
      <c r="AE24" s="1">
        <f t="shared" si="128"/>
        <v>141.759219968172</v>
      </c>
      <c r="AF24" s="1">
        <f t="shared" si="128"/>
        <v>255.10934005485373</v>
      </c>
      <c r="AG24" s="1">
        <f t="shared" si="128"/>
        <v>324.90752255370239</v>
      </c>
      <c r="AH24" s="1">
        <f t="shared" si="128"/>
        <v>388.96379196770931</v>
      </c>
      <c r="AI24" s="1">
        <f t="shared" si="128"/>
        <v>447.88577865700927</v>
      </c>
      <c r="AJ24" s="1">
        <f t="shared" si="128"/>
        <v>502.22131613624003</v>
      </c>
      <c r="AK24" s="1">
        <f t="shared" si="128"/>
        <v>552.464449374997</v>
      </c>
      <c r="AL24" s="1">
        <f>+AK24*(1+$AN$30)</f>
        <v>524.84122690624713</v>
      </c>
      <c r="AM24" s="1">
        <f t="shared" ref="AM24:CW24" si="129">+AL24*(1+$AN$30)</f>
        <v>498.59916556093475</v>
      </c>
      <c r="AN24" s="1">
        <f t="shared" si="129"/>
        <v>473.66920728288801</v>
      </c>
      <c r="AO24" s="1">
        <f t="shared" si="129"/>
        <v>449.98574691874359</v>
      </c>
      <c r="AP24" s="1">
        <f t="shared" si="129"/>
        <v>427.48645957280638</v>
      </c>
      <c r="AQ24" s="1">
        <f t="shared" si="129"/>
        <v>406.11213659416603</v>
      </c>
      <c r="AR24" s="1">
        <f t="shared" si="129"/>
        <v>385.80652976445771</v>
      </c>
      <c r="AS24" s="1">
        <f t="shared" si="129"/>
        <v>366.51620327623482</v>
      </c>
      <c r="AT24" s="1">
        <f t="shared" si="129"/>
        <v>348.19039311242307</v>
      </c>
      <c r="AU24" s="1">
        <f t="shared" si="129"/>
        <v>330.78087345680188</v>
      </c>
      <c r="AV24" s="1">
        <f t="shared" si="129"/>
        <v>314.24182978396175</v>
      </c>
      <c r="AW24" s="1">
        <f t="shared" si="129"/>
        <v>298.52973829476366</v>
      </c>
      <c r="AX24" s="1">
        <f t="shared" si="129"/>
        <v>283.60325138002548</v>
      </c>
      <c r="AY24" s="1">
        <f t="shared" si="129"/>
        <v>269.42308881102417</v>
      </c>
      <c r="AZ24" s="1">
        <f t="shared" si="129"/>
        <v>255.95193437047294</v>
      </c>
      <c r="BA24" s="1">
        <f t="shared" si="129"/>
        <v>243.15433765194928</v>
      </c>
      <c r="BB24" s="1">
        <f t="shared" si="129"/>
        <v>230.99662076935181</v>
      </c>
      <c r="BC24" s="1">
        <f t="shared" si="129"/>
        <v>219.44678973088421</v>
      </c>
      <c r="BD24" s="1">
        <f t="shared" si="129"/>
        <v>208.47445024433998</v>
      </c>
      <c r="BE24" s="1">
        <f t="shared" si="129"/>
        <v>198.05072773212297</v>
      </c>
      <c r="BF24" s="1">
        <f t="shared" si="129"/>
        <v>188.14819134551681</v>
      </c>
      <c r="BG24" s="1">
        <f t="shared" si="129"/>
        <v>178.74078177824097</v>
      </c>
      <c r="BH24" s="1">
        <f t="shared" si="129"/>
        <v>169.80374268932891</v>
      </c>
      <c r="BI24" s="1">
        <f t="shared" si="129"/>
        <v>161.31355555486246</v>
      </c>
      <c r="BJ24" s="1">
        <f t="shared" si="129"/>
        <v>153.24787777711933</v>
      </c>
      <c r="BK24" s="1">
        <f t="shared" si="129"/>
        <v>145.58548388826335</v>
      </c>
      <c r="BL24" s="1">
        <f t="shared" si="129"/>
        <v>138.30620969385018</v>
      </c>
      <c r="BM24" s="1">
        <f t="shared" si="129"/>
        <v>131.39089920915765</v>
      </c>
      <c r="BN24" s="1">
        <f t="shared" si="129"/>
        <v>124.82135424869976</v>
      </c>
      <c r="BO24" s="1">
        <f t="shared" si="129"/>
        <v>118.58028653626477</v>
      </c>
      <c r="BP24" s="1">
        <f t="shared" si="129"/>
        <v>112.65127220945152</v>
      </c>
      <c r="BQ24" s="1">
        <f t="shared" si="129"/>
        <v>107.01870859897893</v>
      </c>
      <c r="BR24" s="1">
        <f t="shared" si="129"/>
        <v>101.66777316902999</v>
      </c>
      <c r="BS24" s="1">
        <f t="shared" si="129"/>
        <v>96.584384510578488</v>
      </c>
      <c r="BT24" s="1">
        <f t="shared" si="129"/>
        <v>91.755165285049557</v>
      </c>
      <c r="BU24" s="1">
        <f t="shared" si="129"/>
        <v>87.167407020797071</v>
      </c>
      <c r="BV24" s="1">
        <f t="shared" si="129"/>
        <v>82.809036669757219</v>
      </c>
      <c r="BW24" s="1">
        <f t="shared" si="129"/>
        <v>78.66858483626936</v>
      </c>
      <c r="BX24" s="1">
        <f t="shared" si="129"/>
        <v>74.73515559445589</v>
      </c>
      <c r="BY24" s="1">
        <f t="shared" si="129"/>
        <v>70.998397814733096</v>
      </c>
      <c r="BZ24" s="1">
        <f t="shared" si="129"/>
        <v>67.448477923996435</v>
      </c>
      <c r="CA24" s="1">
        <f t="shared" si="129"/>
        <v>64.076054027796616</v>
      </c>
      <c r="CB24" s="1">
        <f t="shared" si="129"/>
        <v>60.872251326406783</v>
      </c>
      <c r="CC24" s="1">
        <f t="shared" si="129"/>
        <v>57.828638760086442</v>
      </c>
      <c r="CD24" s="1">
        <f t="shared" si="129"/>
        <v>54.937206822082118</v>
      </c>
      <c r="CE24" s="1">
        <f t="shared" si="129"/>
        <v>52.190346480978008</v>
      </c>
      <c r="CF24" s="1">
        <f t="shared" si="129"/>
        <v>49.580829156929106</v>
      </c>
      <c r="CG24" s="1">
        <f t="shared" si="129"/>
        <v>47.101787699082649</v>
      </c>
      <c r="CH24" s="1">
        <f t="shared" si="129"/>
        <v>44.746698314128516</v>
      </c>
      <c r="CI24" s="1">
        <f t="shared" si="129"/>
        <v>42.509363398422089</v>
      </c>
      <c r="CJ24" s="1">
        <f t="shared" si="129"/>
        <v>40.383895228500982</v>
      </c>
      <c r="CK24" s="1">
        <f t="shared" si="129"/>
        <v>38.364700467075934</v>
      </c>
      <c r="CL24" s="1">
        <f t="shared" si="129"/>
        <v>36.446465443722133</v>
      </c>
      <c r="CM24" s="1">
        <f t="shared" si="129"/>
        <v>34.624142171536022</v>
      </c>
      <c r="CN24" s="1">
        <f t="shared" si="129"/>
        <v>32.892935062959218</v>
      </c>
      <c r="CO24" s="1">
        <f t="shared" si="129"/>
        <v>31.248288309811254</v>
      </c>
      <c r="CP24" s="1">
        <f t="shared" si="129"/>
        <v>29.685873894320689</v>
      </c>
      <c r="CQ24" s="1">
        <f t="shared" si="129"/>
        <v>28.201580199604653</v>
      </c>
      <c r="CR24" s="1">
        <f t="shared" si="129"/>
        <v>26.79150118962442</v>
      </c>
      <c r="CS24" s="1">
        <f t="shared" si="129"/>
        <v>25.451926130143196</v>
      </c>
      <c r="CT24" s="1">
        <f t="shared" si="129"/>
        <v>24.179329823636035</v>
      </c>
      <c r="CU24" s="1">
        <f t="shared" si="129"/>
        <v>22.970363332454234</v>
      </c>
      <c r="CV24" s="1">
        <f t="shared" si="129"/>
        <v>21.821845165831522</v>
      </c>
      <c r="CW24" s="1">
        <f t="shared" si="129"/>
        <v>20.730752907539944</v>
      </c>
    </row>
    <row r="25" spans="2:101" x14ac:dyDescent="0.2">
      <c r="B25" t="s">
        <v>52</v>
      </c>
      <c r="C25" s="18">
        <f t="shared" ref="C25:L25" si="130">+C24/C26</f>
        <v>-1.9622200534697662</v>
      </c>
      <c r="D25" s="18">
        <f t="shared" si="130"/>
        <v>-2.0296785609592445</v>
      </c>
      <c r="E25" s="18">
        <f t="shared" si="130"/>
        <v>-3.2685419039919288</v>
      </c>
      <c r="F25" s="18">
        <f t="shared" si="130"/>
        <v>-1.9642864473857069</v>
      </c>
      <c r="G25" s="18">
        <f t="shared" si="130"/>
        <v>-1.0362352862720752</v>
      </c>
      <c r="H25" s="18">
        <f t="shared" si="130"/>
        <v>-2.2580188485171608</v>
      </c>
      <c r="I25" s="18">
        <f t="shared" si="130"/>
        <v>-1.9614315836993368</v>
      </c>
      <c r="J25" s="18">
        <f t="shared" si="130"/>
        <v>-1.3283098743248072</v>
      </c>
      <c r="K25" s="18">
        <f t="shared" si="130"/>
        <v>-1.8814803242263878</v>
      </c>
      <c r="L25" s="18">
        <f t="shared" si="130"/>
        <v>-1.2895164542562898</v>
      </c>
      <c r="M25" s="18">
        <f t="shared" ref="M25" si="131">+M24/M26</f>
        <v>-1.2343812693732079</v>
      </c>
      <c r="N25" s="18">
        <f t="shared" ref="N25" si="132">+N24/N26</f>
        <v>-1.2158469461337911</v>
      </c>
      <c r="O25" s="18">
        <f t="shared" ref="O25" si="133">+O24/O26</f>
        <v>-1.404848858094905</v>
      </c>
      <c r="P25" s="18">
        <f t="shared" ref="P25" si="134">+P24/P26</f>
        <v>-1.0580291654312315</v>
      </c>
      <c r="Q25" s="18">
        <f t="shared" ref="Q25" si="135">+Q24/Q26</f>
        <v>-1.060656681758442</v>
      </c>
      <c r="R25" s="18">
        <f t="shared" ref="R25" si="136">+R24/R26</f>
        <v>-1.1915236115575405</v>
      </c>
      <c r="X25" s="21">
        <f>+X24/X26</f>
        <v>9.1743921387339569</v>
      </c>
      <c r="Y25" s="21">
        <f>+Y24/Y26</f>
        <v>6.6063965896210775</v>
      </c>
      <c r="Z25" s="21">
        <f>+Z24/Z26</f>
        <v>5.5509542663742391</v>
      </c>
      <c r="AA25" s="21">
        <f>+AA24/AA26</f>
        <v>4.5620517059902692</v>
      </c>
      <c r="AB25" s="21">
        <f>+AB24/AB26</f>
        <v>-2.5551789125717295</v>
      </c>
      <c r="AC25" s="21">
        <f t="shared" ref="AC25:AK25" si="137">+AC24/AC26</f>
        <v>-1.1210421195021427</v>
      </c>
      <c r="AD25" s="21">
        <f t="shared" si="137"/>
        <v>0.21826086560773286</v>
      </c>
      <c r="AE25" s="21">
        <f t="shared" si="137"/>
        <v>1.4722318774660565</v>
      </c>
      <c r="AF25" s="21">
        <f t="shared" si="137"/>
        <v>2.6494227518492961</v>
      </c>
      <c r="AG25" s="21">
        <f t="shared" si="137"/>
        <v>3.3743075902892228</v>
      </c>
      <c r="AH25" s="21">
        <f t="shared" si="137"/>
        <v>4.0395601347376795</v>
      </c>
      <c r="AI25" s="21">
        <f t="shared" si="137"/>
        <v>4.6514908938593411</v>
      </c>
      <c r="AJ25" s="21">
        <f t="shared" si="137"/>
        <v>5.2157893597660783</v>
      </c>
      <c r="AK25" s="21">
        <f t="shared" si="137"/>
        <v>5.7375864068610056</v>
      </c>
    </row>
    <row r="26" spans="2:101" s="1" customFormat="1" x14ac:dyDescent="0.2">
      <c r="B26" s="1" t="s">
        <v>1</v>
      </c>
      <c r="C26" s="15">
        <v>69.516667999999996</v>
      </c>
      <c r="D26" s="15">
        <v>69.925358000000003</v>
      </c>
      <c r="E26" s="15">
        <v>70.054173000000006</v>
      </c>
      <c r="F26" s="15">
        <v>70.152191999999999</v>
      </c>
      <c r="G26" s="15">
        <v>70.897991000000005</v>
      </c>
      <c r="H26" s="15">
        <v>70.897991000000005</v>
      </c>
      <c r="I26" s="15">
        <v>71.664492999999993</v>
      </c>
      <c r="J26" s="15">
        <v>81.118872999999994</v>
      </c>
      <c r="K26" s="15">
        <v>84.286292000000003</v>
      </c>
      <c r="L26" s="15">
        <v>86.580516000000003</v>
      </c>
      <c r="M26" s="15">
        <v>95.493995999999996</v>
      </c>
      <c r="N26" s="15">
        <v>95.681450999999996</v>
      </c>
      <c r="O26" s="1">
        <v>96.288650000000004</v>
      </c>
      <c r="P26" s="1">
        <f>+O26</f>
        <v>96.288650000000004</v>
      </c>
      <c r="Q26" s="1">
        <f>+P26</f>
        <v>96.288650000000004</v>
      </c>
      <c r="R26" s="1">
        <f>+Q26</f>
        <v>96.288650000000004</v>
      </c>
      <c r="X26" s="1">
        <f>AVERAGE(C26:F26)</f>
        <v>69.912097750000001</v>
      </c>
      <c r="Y26" s="1">
        <f>AVERAGE(G26:J26)</f>
        <v>73.644836999999995</v>
      </c>
      <c r="Z26" s="1">
        <f>AVERAGE(K26:N26)</f>
        <v>90.510563749999989</v>
      </c>
      <c r="AA26" s="1">
        <f>AVERAGE(O26:R26)</f>
        <v>96.288650000000004</v>
      </c>
      <c r="AB26" s="1">
        <f>+AA26</f>
        <v>96.288650000000004</v>
      </c>
      <c r="AC26" s="1">
        <f t="shared" ref="AC26:AK26" si="138">+AB26</f>
        <v>96.288650000000004</v>
      </c>
      <c r="AD26" s="1">
        <f t="shared" si="138"/>
        <v>96.288650000000004</v>
      </c>
      <c r="AE26" s="1">
        <f t="shared" si="138"/>
        <v>96.288650000000004</v>
      </c>
      <c r="AF26" s="1">
        <f t="shared" si="138"/>
        <v>96.288650000000004</v>
      </c>
      <c r="AG26" s="1">
        <f t="shared" si="138"/>
        <v>96.288650000000004</v>
      </c>
      <c r="AH26" s="1">
        <f t="shared" si="138"/>
        <v>96.288650000000004</v>
      </c>
      <c r="AI26" s="1">
        <f t="shared" si="138"/>
        <v>96.288650000000004</v>
      </c>
      <c r="AJ26" s="1">
        <f t="shared" si="138"/>
        <v>96.288650000000004</v>
      </c>
      <c r="AK26" s="1">
        <f t="shared" si="138"/>
        <v>96.288650000000004</v>
      </c>
    </row>
    <row r="28" spans="2:101" x14ac:dyDescent="0.2">
      <c r="B28" s="1" t="s">
        <v>57</v>
      </c>
      <c r="E28" s="19"/>
      <c r="F28" s="19"/>
      <c r="G28" s="19">
        <f t="shared" ref="G28:L28" si="139">+G14/C14-1</f>
        <v>0.25722149246262593</v>
      </c>
      <c r="H28" s="19">
        <f t="shared" si="139"/>
        <v>0.21228299922769533</v>
      </c>
      <c r="I28" s="19">
        <f t="shared" si="139"/>
        <v>8.102267841195987E-2</v>
      </c>
      <c r="J28" s="19">
        <f t="shared" si="139"/>
        <v>0.2326508495568369</v>
      </c>
      <c r="K28" s="19">
        <f t="shared" si="139"/>
        <v>8.2958525712466091E-2</v>
      </c>
      <c r="L28" s="19">
        <f t="shared" si="139"/>
        <v>0.35746798511665712</v>
      </c>
      <c r="M28" s="19">
        <f t="shared" ref="M28" si="140">+M14/I14-1</f>
        <v>0.4226532860115042</v>
      </c>
      <c r="N28" s="19">
        <f t="shared" ref="N28" si="141">+N14/J14-1</f>
        <v>0.29424924642049755</v>
      </c>
      <c r="O28" s="19">
        <f t="shared" ref="O28" si="142">+O14/K14-1</f>
        <v>0.27986915733279427</v>
      </c>
      <c r="P28" s="19">
        <f t="shared" ref="P28" si="143">+P14/L14-1</f>
        <v>1.8092038142913935E-3</v>
      </c>
      <c r="Q28" s="19">
        <f t="shared" ref="Q28" si="144">+Q14/M14-1</f>
        <v>0.12042095000501818</v>
      </c>
      <c r="R28" s="19">
        <f t="shared" ref="R28" si="145">+R14/N14-1</f>
        <v>-3.5480994923489106E-3</v>
      </c>
      <c r="Y28" s="22">
        <f>+Y14/X14-1</f>
        <v>0.21686635193157167</v>
      </c>
      <c r="Z28" s="22">
        <f>+Z14/Y14-1</f>
        <v>0.29452133927952495</v>
      </c>
      <c r="AA28" s="22">
        <f>+AA14/Z14-1</f>
        <v>8.3783446084643831E-2</v>
      </c>
      <c r="AB28" s="22">
        <f t="shared" ref="AB28:AK28" si="146">+AB14/AA14-1</f>
        <v>0.16762589596289668</v>
      </c>
      <c r="AC28" s="22">
        <f t="shared" si="146"/>
        <v>7.3059045419992197E-2</v>
      </c>
      <c r="AD28" s="22">
        <f t="shared" si="146"/>
        <v>6.8108426033997249E-2</v>
      </c>
      <c r="AE28" s="22">
        <f t="shared" si="146"/>
        <v>6.3787770787738118E-2</v>
      </c>
      <c r="AF28" s="22">
        <f t="shared" si="146"/>
        <v>5.9984054684125709E-2</v>
      </c>
      <c r="AG28" s="22">
        <f t="shared" si="146"/>
        <v>1.1861317151129702E-2</v>
      </c>
      <c r="AH28" s="22">
        <f t="shared" si="146"/>
        <v>1.2033651961159908E-2</v>
      </c>
      <c r="AI28" s="22">
        <f t="shared" si="146"/>
        <v>1.2207071128335745E-2</v>
      </c>
      <c r="AJ28" s="22">
        <f t="shared" si="146"/>
        <v>1.2381528096696348E-2</v>
      </c>
      <c r="AK28" s="22">
        <f t="shared" si="146"/>
        <v>1.2556974984405E-2</v>
      </c>
    </row>
    <row r="30" spans="2:101" x14ac:dyDescent="0.2">
      <c r="AM30" t="s">
        <v>67</v>
      </c>
      <c r="AN30" s="22">
        <v>-0.05</v>
      </c>
    </row>
    <row r="31" spans="2:101" x14ac:dyDescent="0.2">
      <c r="AM31" t="s">
        <v>68</v>
      </c>
      <c r="AN31" s="22">
        <v>0.09</v>
      </c>
    </row>
    <row r="32" spans="2:101" x14ac:dyDescent="0.2">
      <c r="AM32" t="s">
        <v>69</v>
      </c>
      <c r="AN32" s="1">
        <f>NPV(AN31,AB24:DG24)</f>
        <v>2645.0966415077396</v>
      </c>
    </row>
    <row r="33" spans="39:40" x14ac:dyDescent="0.2">
      <c r="AM33" t="s">
        <v>70</v>
      </c>
      <c r="AN33" s="21">
        <f>AN32/Main!L3</f>
        <v>27.977995623933204</v>
      </c>
    </row>
    <row r="34" spans="39:40" x14ac:dyDescent="0.2">
      <c r="AM34" t="s">
        <v>80</v>
      </c>
      <c r="AN34" s="22">
        <f>AN33/Main!L2-1</f>
        <v>-0.2952645938555869</v>
      </c>
    </row>
  </sheetData>
  <hyperlinks>
    <hyperlink ref="A1" location="Main!A1" display="Main" xr:uid="{74030F7E-4FAD-4277-B06A-F1F43FD70CF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2A8F-273D-40F0-975B-DB1EB69656E8}">
  <dimension ref="A1:C5"/>
  <sheetViews>
    <sheetView zoomScaleNormal="100" workbookViewId="0">
      <selection activeCell="E8" sqref="E8"/>
    </sheetView>
  </sheetViews>
  <sheetFormatPr defaultRowHeight="12.75" x14ac:dyDescent="0.2"/>
  <cols>
    <col min="1" max="1" width="4.5703125" bestFit="1" customWidth="1"/>
    <col min="2" max="2" width="10.7109375" customWidth="1"/>
  </cols>
  <sheetData>
    <row r="1" spans="1:3" x14ac:dyDescent="0.2">
      <c r="A1" t="s">
        <v>30</v>
      </c>
    </row>
    <row r="2" spans="1:3" x14ac:dyDescent="0.2">
      <c r="B2" t="s">
        <v>74</v>
      </c>
      <c r="C2" t="s">
        <v>14</v>
      </c>
    </row>
    <row r="3" spans="1:3" x14ac:dyDescent="0.2">
      <c r="B3" t="s">
        <v>75</v>
      </c>
      <c r="C3" t="s">
        <v>79</v>
      </c>
    </row>
    <row r="4" spans="1:3" x14ac:dyDescent="0.2">
      <c r="B4" t="s">
        <v>71</v>
      </c>
      <c r="C4" t="s">
        <v>76</v>
      </c>
    </row>
    <row r="5" spans="1:3" x14ac:dyDescent="0.2">
      <c r="B5" t="s">
        <v>77</v>
      </c>
      <c r="C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Crysvita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2024-10-06T12:52:59Z</dcterms:created>
  <dcterms:modified xsi:type="dcterms:W3CDTF">2025-10-15T11:36:42Z</dcterms:modified>
</cp:coreProperties>
</file>