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DC4C971-B891-452C-A003-4FF1CF65749B}" xr6:coauthVersionLast="47" xr6:coauthVersionMax="47" xr10:uidLastSave="{00000000-0000-0000-0000-000000000000}"/>
  <bookViews>
    <workbookView xWindow="5355" yWindow="3600" windowWidth="18075" windowHeight="16020" activeTab="1" xr2:uid="{97D82AA5-E811-4F83-BAF3-60D1AC66FB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H33" i="2"/>
  <c r="L32" i="2"/>
  <c r="L33" i="2" s="1"/>
  <c r="L21" i="2"/>
  <c r="H12" i="2"/>
  <c r="L12" i="2"/>
  <c r="L8" i="2"/>
  <c r="L23" i="2" s="1"/>
  <c r="H8" i="2"/>
  <c r="H23" i="2" s="1"/>
  <c r="J7" i="1"/>
  <c r="J5" i="1"/>
  <c r="J4" i="1"/>
  <c r="J3" i="1"/>
  <c r="H13" i="2" l="1"/>
  <c r="H15" i="2" s="1"/>
  <c r="H17" i="2" s="1"/>
  <c r="L13" i="2"/>
  <c r="L15" i="2" s="1"/>
  <c r="L17" i="2" s="1"/>
  <c r="H18" i="2" l="1"/>
  <c r="H25" i="2"/>
  <c r="L18" i="2"/>
  <c r="L25" i="2"/>
</calcChain>
</file>

<file path=xl/sharedStrings.xml><?xml version="1.0" encoding="utf-8"?>
<sst xmlns="http://schemas.openxmlformats.org/spreadsheetml/2006/main" count="49" uniqueCount="45">
  <si>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</si>
  <si>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</si>
  <si>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</si>
  <si>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</si>
  <si>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</si>
  <si>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</si>
  <si>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</si>
  <si>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</si>
  <si>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</si>
  <si>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</si>
  <si>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</si>
  <si>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</si>
  <si>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</si>
  <si>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</si>
  <si>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</si>
  <si>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</si>
  <si>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</si>
  <si>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</si>
  <si>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</si>
  <si>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</si>
  <si>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Expenses</t>
  </si>
  <si>
    <t>Operating Income</t>
  </si>
  <si>
    <t>COGS</t>
  </si>
  <si>
    <t>Gross Profit</t>
  </si>
  <si>
    <t>R&amp;D</t>
  </si>
  <si>
    <t>S&amp;M</t>
  </si>
  <si>
    <t>G&amp;A</t>
  </si>
  <si>
    <t>Revenue y/y</t>
  </si>
  <si>
    <t>Gross Margin</t>
  </si>
  <si>
    <t>Interest Income</t>
  </si>
  <si>
    <t>Pretax Income</t>
  </si>
  <si>
    <t>Taxes</t>
  </si>
  <si>
    <t>Net Income</t>
  </si>
  <si>
    <t>EPS</t>
  </si>
  <si>
    <t>Model NI</t>
  </si>
  <si>
    <t>Reported NI</t>
  </si>
  <si>
    <t>CFFO</t>
  </si>
  <si>
    <t>WC</t>
  </si>
  <si>
    <t>Other</t>
  </si>
  <si>
    <t>SBC</t>
  </si>
  <si>
    <t>Lease</t>
  </si>
  <si>
    <t>D&amp;A</t>
  </si>
  <si>
    <t>Amort of premium</t>
  </si>
  <si>
    <t>DAU</t>
  </si>
  <si>
    <t>WAU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</si>
</sst>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7E25D73-B337-4451-A54A-BB19E3AB90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32657</xdr:colOff>
      <xdr:row>0</xdr:row>
      <xdr:rowOff>43543</xdr:rowOff>
    </xdr:from>
    <xdr:to>
      <xdr:col>12</xdr:col>
      <xdr:colOff>32657</xdr:colOff>
      <xdr:row>38</xdr:row>
      <xdr:rowOff>43543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79B0EBA-AA8A-A5E5-0619-630CE3208FB4}"/>
            </a:ext>
          </a:extLst>
        </xdr:cNvPr>
        <xdr:cNvCxnSpPr/>
      </xdr:nvCxnSpPr>
      <xdr:spPr>
        <a:xfrm>
          <a:off x="7668986" y="43543"/>
          <a:ext cx="0" cy="60415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3D00-E886-4A7B-A7C0-AFFB30A0569F}">
  <dimension ref="I2:K7"/>
  <sheetViews>
    <sheetView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0</v>
      </c>
      <c r="J2">
        <v>109.85</v>
      </c>
    </row>
    <row r="3" spans="9:11" x14ac:dyDescent="0.2">
      <c r="I3" t="s">
        <v>1</v>
      </c>
      <c r="J3" s="1">
        <f>70.92053+94.955524</f>
        <v>165.87605400000001</v>
      </c>
      <c r="K3" s="2" t="s">
        <v>6</v>
      </c>
    </row>
    <row r="4" spans="9:11" x14ac:dyDescent="0.2">
      <c r="I4" t="s">
        <v>2</v>
      </c>
      <c r="J4" s="1">
        <f>+J2*J3</f>
        <v>18221.484531900001</v>
      </c>
    </row>
    <row r="5" spans="9:11" x14ac:dyDescent="0.2">
      <c r="I5" t="s">
        <v>3</v>
      </c>
      <c r="J5" s="1">
        <f>467.952+123.099</f>
        <v>591.05100000000004</v>
      </c>
      <c r="K5" s="2" t="s">
        <v>6</v>
      </c>
    </row>
    <row r="6" spans="9:11" x14ac:dyDescent="0.2">
      <c r="I6" t="s">
        <v>4</v>
      </c>
      <c r="J6" s="1">
        <v>0</v>
      </c>
      <c r="K6" s="2" t="s">
        <v>6</v>
      </c>
    </row>
    <row r="7" spans="9:11" x14ac:dyDescent="0.2">
      <c r="I7" t="s">
        <v>5</v>
      </c>
      <c r="J7" s="1">
        <f>+J4-J5+J6</f>
        <v>17630.433531900002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65F6-A074-4C53-9A5B-F359AF474E1F}">
  <dimension ref="A1:N33"/>
  <sheetViews>
    <sheetView tabSelected="1" zoomScaleNormal="1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33" sqref="L3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14" x14ac:dyDescent="0.2">
      <c r="A1" s="8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</row>
    <row r="3" spans="1:14" x14ac:dyDescent="0.2">
      <c r="B3" t="s">
        <v>44</v>
      </c>
      <c r="L3" s="3">
        <v>342.3</v>
      </c>
    </row>
    <row r="4" spans="1:14" x14ac:dyDescent="0.2">
      <c r="B4" t="s">
        <v>43</v>
      </c>
      <c r="L4" s="3">
        <v>91.2</v>
      </c>
    </row>
    <row r="6" spans="1:14" s="6" customFormat="1" x14ac:dyDescent="0.2">
      <c r="B6" s="6" t="s">
        <v>8</v>
      </c>
      <c r="C6" s="7"/>
      <c r="D6" s="7"/>
      <c r="E6" s="7"/>
      <c r="F6" s="7"/>
      <c r="G6" s="7"/>
      <c r="H6" s="7">
        <v>183.03100000000001</v>
      </c>
      <c r="I6" s="7"/>
      <c r="J6" s="7"/>
      <c r="K6" s="7"/>
      <c r="L6" s="7">
        <v>281.18400000000003</v>
      </c>
      <c r="M6" s="7"/>
      <c r="N6" s="7"/>
    </row>
    <row r="7" spans="1:14" s="1" customFormat="1" x14ac:dyDescent="0.2">
      <c r="B7" s="1" t="s">
        <v>22</v>
      </c>
      <c r="C7" s="3"/>
      <c r="D7" s="3"/>
      <c r="E7" s="3"/>
      <c r="F7" s="3"/>
      <c r="G7" s="3"/>
      <c r="H7" s="3">
        <v>28.835999999999999</v>
      </c>
      <c r="I7" s="3"/>
      <c r="J7" s="3"/>
      <c r="K7" s="3"/>
      <c r="L7" s="3">
        <v>29.501000000000001</v>
      </c>
      <c r="M7" s="3"/>
      <c r="N7" s="3"/>
    </row>
    <row r="8" spans="1:14" s="1" customFormat="1" x14ac:dyDescent="0.2">
      <c r="B8" s="1" t="s">
        <v>23</v>
      </c>
      <c r="C8" s="3"/>
      <c r="D8" s="3"/>
      <c r="E8" s="3"/>
      <c r="F8" s="3"/>
      <c r="G8" s="3"/>
      <c r="H8" s="3">
        <f>+H6-H7</f>
        <v>154.19499999999999</v>
      </c>
      <c r="I8" s="3"/>
      <c r="J8" s="3"/>
      <c r="K8" s="3"/>
      <c r="L8" s="3">
        <f>+L6-L7</f>
        <v>251.68300000000002</v>
      </c>
      <c r="M8" s="3"/>
      <c r="N8" s="3"/>
    </row>
    <row r="9" spans="1:14" s="1" customFormat="1" x14ac:dyDescent="0.2">
      <c r="B9" s="1" t="s">
        <v>24</v>
      </c>
      <c r="C9" s="3"/>
      <c r="D9" s="3"/>
      <c r="E9" s="3"/>
      <c r="F9" s="3"/>
      <c r="G9" s="3"/>
      <c r="H9" s="3">
        <v>109.726</v>
      </c>
      <c r="I9" s="3"/>
      <c r="J9" s="3"/>
      <c r="K9" s="3"/>
      <c r="L9" s="3">
        <v>142.77699999999999</v>
      </c>
      <c r="M9" s="3"/>
      <c r="N9" s="3"/>
    </row>
    <row r="10" spans="1:14" s="1" customFormat="1" x14ac:dyDescent="0.2">
      <c r="B10" s="1" t="s">
        <v>25</v>
      </c>
      <c r="C10" s="3"/>
      <c r="D10" s="3"/>
      <c r="E10" s="3"/>
      <c r="F10" s="3"/>
      <c r="G10" s="3"/>
      <c r="H10" s="3">
        <v>59.225000000000001</v>
      </c>
      <c r="I10" s="3"/>
      <c r="J10" s="3"/>
      <c r="K10" s="3"/>
      <c r="L10" s="3">
        <v>71.457999999999998</v>
      </c>
      <c r="M10" s="3"/>
      <c r="N10" s="3"/>
    </row>
    <row r="11" spans="1:14" s="1" customFormat="1" x14ac:dyDescent="0.2">
      <c r="B11" s="1" t="s">
        <v>26</v>
      </c>
      <c r="C11" s="3"/>
      <c r="D11" s="3"/>
      <c r="E11" s="3"/>
      <c r="F11" s="3"/>
      <c r="G11" s="3"/>
      <c r="H11" s="3">
        <v>38.232999999999997</v>
      </c>
      <c r="I11" s="3"/>
      <c r="J11" s="3"/>
      <c r="K11" s="3"/>
      <c r="L11" s="3">
        <v>68.486999999999995</v>
      </c>
      <c r="M11" s="3"/>
      <c r="N11" s="3"/>
    </row>
    <row r="12" spans="1:14" s="1" customFormat="1" x14ac:dyDescent="0.2">
      <c r="B12" s="1" t="s">
        <v>20</v>
      </c>
      <c r="C12" s="3"/>
      <c r="D12" s="3"/>
      <c r="E12" s="3"/>
      <c r="F12" s="3"/>
      <c r="G12" s="3"/>
      <c r="H12" s="3">
        <f>SUM(H9:H11)</f>
        <v>207.184</v>
      </c>
      <c r="I12" s="3"/>
      <c r="J12" s="3"/>
      <c r="K12" s="3"/>
      <c r="L12" s="3">
        <f>SUM(L9:L11)</f>
        <v>282.72199999999998</v>
      </c>
      <c r="M12" s="3"/>
      <c r="N12" s="3"/>
    </row>
    <row r="13" spans="1:14" s="1" customFormat="1" x14ac:dyDescent="0.2">
      <c r="B13" s="1" t="s">
        <v>21</v>
      </c>
      <c r="C13" s="3"/>
      <c r="D13" s="3"/>
      <c r="E13" s="3"/>
      <c r="F13" s="3"/>
      <c r="G13" s="3"/>
      <c r="H13" s="3">
        <f>+H8-H12</f>
        <v>-52.989000000000004</v>
      </c>
      <c r="I13" s="3"/>
      <c r="J13" s="3"/>
      <c r="K13" s="3"/>
      <c r="L13" s="3">
        <f>+L8-L12</f>
        <v>-31.038999999999959</v>
      </c>
      <c r="M13" s="3"/>
      <c r="N13" s="3"/>
    </row>
    <row r="14" spans="1:14" s="1" customFormat="1" x14ac:dyDescent="0.2">
      <c r="B14" s="1" t="s">
        <v>29</v>
      </c>
      <c r="C14" s="3"/>
      <c r="D14" s="3"/>
      <c r="E14" s="3"/>
      <c r="F14" s="3"/>
      <c r="G14" s="3"/>
      <c r="H14" s="3">
        <v>13.305999999999999</v>
      </c>
      <c r="I14" s="3"/>
      <c r="J14" s="3"/>
      <c r="K14" s="3"/>
      <c r="L14" s="3">
        <v>20.724</v>
      </c>
      <c r="M14" s="3"/>
      <c r="N14" s="3"/>
    </row>
    <row r="15" spans="1:14" s="1" customFormat="1" x14ac:dyDescent="0.2">
      <c r="B15" s="1" t="s">
        <v>30</v>
      </c>
      <c r="C15" s="3"/>
      <c r="D15" s="3"/>
      <c r="E15" s="3"/>
      <c r="F15" s="3"/>
      <c r="G15" s="3"/>
      <c r="H15" s="3">
        <f>+H13+H14</f>
        <v>-39.683000000000007</v>
      </c>
      <c r="I15" s="3"/>
      <c r="J15" s="3"/>
      <c r="K15" s="3"/>
      <c r="L15" s="3">
        <f>+L13+L14</f>
        <v>-10.314999999999959</v>
      </c>
      <c r="M15" s="3"/>
      <c r="N15" s="3"/>
    </row>
    <row r="16" spans="1:14" x14ac:dyDescent="0.2">
      <c r="B16" s="1" t="s">
        <v>31</v>
      </c>
      <c r="H16" s="3">
        <v>1.4259999999999999</v>
      </c>
      <c r="L16" s="3">
        <v>-0.216</v>
      </c>
    </row>
    <row r="17" spans="2:14" x14ac:dyDescent="0.2">
      <c r="B17" s="1" t="s">
        <v>32</v>
      </c>
      <c r="H17" s="3">
        <f>+H15-H16</f>
        <v>-41.109000000000009</v>
      </c>
      <c r="L17" s="3">
        <f>+L15-L16</f>
        <v>-10.098999999999959</v>
      </c>
    </row>
    <row r="18" spans="2:14" x14ac:dyDescent="0.2">
      <c r="B18" s="1" t="s">
        <v>33</v>
      </c>
      <c r="H18" s="4">
        <f>+H17/H19</f>
        <v>-0.70261996626179901</v>
      </c>
      <c r="L18" s="4">
        <f>+L17/L19</f>
        <v>-6.1435891905339497E-2</v>
      </c>
    </row>
    <row r="19" spans="2:14" s="1" customFormat="1" x14ac:dyDescent="0.2">
      <c r="B19" s="1" t="s">
        <v>1</v>
      </c>
      <c r="C19" s="3"/>
      <c r="D19" s="3"/>
      <c r="E19" s="3"/>
      <c r="F19" s="3"/>
      <c r="G19" s="3"/>
      <c r="H19" s="3">
        <v>58.508158000000002</v>
      </c>
      <c r="I19" s="3"/>
      <c r="J19" s="3"/>
      <c r="K19" s="3"/>
      <c r="L19" s="3">
        <v>164.38273599999999</v>
      </c>
      <c r="M19" s="3"/>
      <c r="N19" s="3"/>
    </row>
    <row r="21" spans="2:14" x14ac:dyDescent="0.2">
      <c r="B21" s="1" t="s">
        <v>27</v>
      </c>
      <c r="L21" s="5">
        <f>+L6/H6-1</f>
        <v>0.53626434866224848</v>
      </c>
    </row>
    <row r="23" spans="2:14" x14ac:dyDescent="0.2">
      <c r="B23" t="s">
        <v>28</v>
      </c>
      <c r="H23" s="5">
        <f>+H8/H6</f>
        <v>0.8424529178117367</v>
      </c>
      <c r="L23" s="5">
        <f>+L8/L6</f>
        <v>0.89508293501763969</v>
      </c>
    </row>
    <row r="25" spans="2:14" x14ac:dyDescent="0.2">
      <c r="B25" t="s">
        <v>35</v>
      </c>
      <c r="H25" s="3">
        <f>+H17</f>
        <v>-41.109000000000009</v>
      </c>
      <c r="L25" s="3">
        <f>+L17</f>
        <v>-10.098999999999959</v>
      </c>
    </row>
    <row r="26" spans="2:14" x14ac:dyDescent="0.2">
      <c r="B26" t="s">
        <v>34</v>
      </c>
      <c r="H26" s="3">
        <v>-41.109000000000002</v>
      </c>
      <c r="L26" s="3">
        <v>-10.099</v>
      </c>
    </row>
    <row r="27" spans="2:14" x14ac:dyDescent="0.2">
      <c r="B27" t="s">
        <v>41</v>
      </c>
      <c r="H27" s="3">
        <v>3.3210000000000002</v>
      </c>
      <c r="L27" s="3">
        <v>3.77</v>
      </c>
    </row>
    <row r="28" spans="2:14" x14ac:dyDescent="0.2">
      <c r="B28" t="s">
        <v>40</v>
      </c>
      <c r="H28" s="3">
        <v>3.415</v>
      </c>
      <c r="L28" s="3">
        <v>1.335</v>
      </c>
    </row>
    <row r="29" spans="2:14" x14ac:dyDescent="0.2">
      <c r="B29" t="s">
        <v>42</v>
      </c>
      <c r="H29" s="3">
        <v>-6.15</v>
      </c>
      <c r="L29" s="3">
        <v>-11.362</v>
      </c>
    </row>
    <row r="30" spans="2:14" x14ac:dyDescent="0.2">
      <c r="B30" t="s">
        <v>39</v>
      </c>
      <c r="H30" s="3">
        <v>10.103</v>
      </c>
      <c r="L30" s="3">
        <v>64.266000000000005</v>
      </c>
    </row>
    <row r="31" spans="2:14" x14ac:dyDescent="0.2">
      <c r="B31" t="s">
        <v>38</v>
      </c>
      <c r="H31" s="3">
        <v>0.15</v>
      </c>
      <c r="L31" s="3">
        <v>0.14099999999999999</v>
      </c>
    </row>
    <row r="32" spans="2:14" x14ac:dyDescent="0.2">
      <c r="B32" t="s">
        <v>37</v>
      </c>
      <c r="H32" s="3">
        <f>-8.833+1.84-2.211-6.323-8.256</f>
        <v>-23.783000000000001</v>
      </c>
      <c r="L32" s="3">
        <f>-24.793-6.27-0.78+18.22-6.043</f>
        <v>-19.666</v>
      </c>
    </row>
    <row r="33" spans="2:12" x14ac:dyDescent="0.2">
      <c r="B33" t="s">
        <v>36</v>
      </c>
      <c r="H33" s="3">
        <f>SUM(H26:H32)</f>
        <v>-54.053000000000004</v>
      </c>
      <c r="L33" s="3">
        <f>SUM(L26:L32)</f>
        <v>28.385000000000002</v>
      </c>
    </row>
  </sheetData>
  <hyperlinks>
    <hyperlink ref="A1" location="Main!A1" display="Main" xr:uid="{B39C7998-54E4-4FA8-BF2A-AF3574DC860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2024-11-05T14:23:14Z</dcterms:created>
  <dcterms:modified xsi:type="dcterms:W3CDTF">2025-10-15T14:51:11Z</dcterms:modified>
</cp:coreProperties>
</file>