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D26B25E2-DE8C-4A4B-866E-6F00BA51F0F9}" xr6:coauthVersionLast="47" xr6:coauthVersionMax="47" xr10:uidLastSave="{00000000-0000-0000-0000-000000000000}"/>
  <bookViews>
    <workbookView xWindow="390" yWindow="390" windowWidth="18075" windowHeight="16020" activeTab="1" xr2:uid="{8CA0C42C-EEAB-4EC6-AB4F-C4FFD31DE74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2" l="1"/>
  <c r="M46" i="2"/>
  <c r="M43" i="2"/>
  <c r="M47" i="2"/>
  <c r="M44" i="2"/>
  <c r="M37" i="2"/>
  <c r="M28" i="2"/>
  <c r="M39" i="2" s="1"/>
  <c r="I15" i="2"/>
  <c r="I13" i="2"/>
  <c r="I8" i="2"/>
  <c r="I5" i="2"/>
  <c r="M15" i="2"/>
  <c r="M13" i="2"/>
  <c r="M8" i="2"/>
  <c r="M5" i="2"/>
  <c r="M22" i="2" s="1"/>
  <c r="T22" i="2"/>
  <c r="S22" i="2"/>
  <c r="T15" i="2"/>
  <c r="S15" i="2"/>
  <c r="R15" i="2"/>
  <c r="T13" i="2"/>
  <c r="S13" i="2"/>
  <c r="R13" i="2"/>
  <c r="T8" i="2"/>
  <c r="S8" i="2"/>
  <c r="R8" i="2"/>
  <c r="T5" i="2"/>
  <c r="T9" i="2" s="1"/>
  <c r="T23" i="2" s="1"/>
  <c r="S5" i="2"/>
  <c r="S9" i="2" s="1"/>
  <c r="S23" i="2" s="1"/>
  <c r="R5" i="2"/>
  <c r="R9" i="2" s="1"/>
  <c r="R23" i="2" s="1"/>
  <c r="S2" i="2"/>
  <c r="T2" i="2" s="1"/>
  <c r="U2" i="2" s="1"/>
  <c r="V2" i="2" s="1"/>
  <c r="W2" i="2" s="1"/>
  <c r="X2" i="2" s="1"/>
  <c r="Y2" i="2" s="1"/>
  <c r="Z2" i="2" s="1"/>
  <c r="AA2" i="2" s="1"/>
  <c r="K7" i="1"/>
  <c r="K5" i="1"/>
  <c r="K4" i="1"/>
  <c r="M9" i="2" l="1"/>
  <c r="M23" i="2" s="1"/>
  <c r="M14" i="2"/>
  <c r="M16" i="2" s="1"/>
  <c r="M18" i="2" s="1"/>
  <c r="M19" i="2" s="1"/>
  <c r="R14" i="2"/>
  <c r="R16" i="2" s="1"/>
  <c r="R18" i="2" s="1"/>
  <c r="S14" i="2"/>
  <c r="T14" i="2"/>
  <c r="T16" i="2" s="1"/>
  <c r="T18" i="2" s="1"/>
  <c r="I9" i="2"/>
  <c r="I14" i="2" s="1"/>
  <c r="I16" i="2" s="1"/>
  <c r="I18" i="2" s="1"/>
  <c r="I19" i="2" s="1"/>
  <c r="S16" i="2"/>
  <c r="S18" i="2" s="1"/>
</calcChain>
</file>

<file path=xl/sharedStrings.xml><?xml version="1.0" encoding="utf-8"?>
<sst xmlns="http://schemas.openxmlformats.org/spreadsheetml/2006/main" count="63" uniqueCount="57">
  <si>
    <t>Price</t>
  </si>
  <si>
    <t>Shares</t>
  </si>
  <si>
    <t>MC</t>
  </si>
  <si>
    <t>Cash</t>
  </si>
  <si>
    <t>Debt</t>
  </si>
  <si>
    <t>EV</t>
  </si>
  <si>
    <t>Q322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</si>
  <si>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</si>
  <si>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</si>
  <si>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</si>
  <si>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</si>
  <si>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</si>
  <si>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</si>
  <si>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</si>
  <si>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</si>
  <si>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</si>
  <si>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</si>
  <si>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</si>
  <si>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</si>
  <si>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</si>
  <si>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Service</t>
  </si>
  <si>
    <t>Product</t>
  </si>
  <si>
    <t>COS</t>
  </si>
  <si>
    <t>COP</t>
  </si>
  <si>
    <t>COGS</t>
  </si>
  <si>
    <t>Gross Profit</t>
  </si>
  <si>
    <t>T&amp;D</t>
  </si>
  <si>
    <t>Marketing</t>
  </si>
  <si>
    <t>G&amp;A</t>
  </si>
  <si>
    <t>OpEx</t>
  </si>
  <si>
    <t>OpInc</t>
  </si>
  <si>
    <t>Interest</t>
  </si>
  <si>
    <t>Pretax</t>
  </si>
  <si>
    <t>Taxes</t>
  </si>
  <si>
    <t>Net Income</t>
  </si>
  <si>
    <t>EPS</t>
  </si>
  <si>
    <t>Revenue y/y</t>
  </si>
  <si>
    <t>Gross Margin</t>
  </si>
  <si>
    <t>CFFO</t>
  </si>
  <si>
    <t>AR</t>
  </si>
  <si>
    <t>Inventory</t>
  </si>
  <si>
    <t>Loans</t>
  </si>
  <si>
    <t>Prepaids</t>
  </si>
  <si>
    <t>OCA</t>
  </si>
  <si>
    <t>PP&amp;E</t>
  </si>
  <si>
    <t>ROU</t>
  </si>
  <si>
    <t>Goodwill</t>
  </si>
  <si>
    <t>Other</t>
  </si>
  <si>
    <t>Assets</t>
  </si>
  <si>
    <t>MSR</t>
  </si>
  <si>
    <t>AP</t>
  </si>
  <si>
    <t>AL</t>
  </si>
  <si>
    <t>L+SE</t>
  </si>
  <si>
    <t>SE</t>
  </si>
  <si>
    <t>DT</t>
  </si>
  <si>
    <t>Leases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</si>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</sst>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33D79D5-5AF3-498F-8D91-DB16371609E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32844</xdr:colOff>
      <xdr:row>0</xdr:row>
      <xdr:rowOff>39414</xdr:rowOff>
    </xdr:from>
    <xdr:to>
      <xdr:col>13</xdr:col>
      <xdr:colOff>32844</xdr:colOff>
      <xdr:row>54</xdr:row>
      <xdr:rowOff>111672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7248B7F-A57B-099B-2509-531FF502F39F}"/>
            </a:ext>
          </a:extLst>
        </xdr:cNvPr>
        <xdr:cNvCxnSpPr/>
      </xdr:nvCxnSpPr>
      <xdr:spPr>
        <a:xfrm>
          <a:off x="7935310" y="39414"/>
          <a:ext cx="0" cy="91045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99019-56EE-4F63-836A-EE4C567042F2}">
  <dimension ref="J2:L7"/>
  <sheetViews>
    <sheetView zoomScaleNormal="100" workbookViewId="0">
      <selection activeCell="L7" sqref="L7"/>
    </sheetView>
  </sheetViews>
  <sheetFormatPr defaultRowHeight="12.75" x14ac:dyDescent="0.2"/>
  <sheetData>
    <row r="2" spans="10:12" x14ac:dyDescent="0.2">
      <c r="J2" t="s">
        <v>0</v>
      </c>
      <c r="K2">
        <v>8.8800000000000008</v>
      </c>
    </row>
    <row r="3" spans="10:12" x14ac:dyDescent="0.2">
      <c r="J3" t="s">
        <v>1</v>
      </c>
      <c r="K3" s="1">
        <v>108.748718</v>
      </c>
      <c r="L3" s="2" t="s">
        <v>6</v>
      </c>
    </row>
    <row r="4" spans="10:12" x14ac:dyDescent="0.2">
      <c r="J4" t="s">
        <v>2</v>
      </c>
      <c r="K4" s="1">
        <f>+K2*K3</f>
        <v>965.68861584000001</v>
      </c>
    </row>
    <row r="5" spans="10:12" x14ac:dyDescent="0.2">
      <c r="J5" t="s">
        <v>3</v>
      </c>
      <c r="K5" s="1">
        <f>359.724+43.992+110.316+41.677</f>
        <v>555.70900000000006</v>
      </c>
      <c r="L5" s="2" t="s">
        <v>6</v>
      </c>
    </row>
    <row r="6" spans="10:12" x14ac:dyDescent="0.2">
      <c r="J6" t="s">
        <v>4</v>
      </c>
      <c r="K6" s="1">
        <v>1719</v>
      </c>
      <c r="L6" s="2" t="s">
        <v>6</v>
      </c>
    </row>
    <row r="7" spans="10:12" x14ac:dyDescent="0.2">
      <c r="J7" t="s">
        <v>5</v>
      </c>
      <c r="K7" s="1">
        <f>+K4-K5+K6</f>
        <v>2128.97961584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E446-BC43-44A5-96ED-0D06F08FA095}">
  <dimension ref="A1:AA47"/>
  <sheetViews>
    <sheetView tabSelected="1" zoomScaleNormal="1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T25" sqref="T25"/>
    </sheetView>
  </sheetViews>
  <sheetFormatPr defaultRowHeight="12.75" x14ac:dyDescent="0.2"/>
  <cols>
    <col min="1" max="1" width="5" bestFit="1" customWidth="1"/>
    <col min="2" max="2" width="12.7109375" customWidth="1"/>
    <col min="3" max="14" width="9.140625" style="2"/>
  </cols>
  <sheetData>
    <row r="1" spans="1:27" x14ac:dyDescent="0.2">
      <c r="A1" t="s">
        <v>7</v>
      </c>
    </row>
    <row r="2" spans="1:27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6</v>
      </c>
      <c r="N2" s="2" t="s">
        <v>19</v>
      </c>
      <c r="R2">
        <v>2019</v>
      </c>
      <c r="S2">
        <f>+R2+1</f>
        <v>2020</v>
      </c>
      <c r="T2">
        <f t="shared" ref="T2:AA2" si="0">+S2+1</f>
        <v>2021</v>
      </c>
      <c r="U2">
        <f t="shared" si="0"/>
        <v>2022</v>
      </c>
      <c r="V2">
        <f t="shared" si="0"/>
        <v>2023</v>
      </c>
      <c r="W2">
        <f t="shared" si="0"/>
        <v>2024</v>
      </c>
      <c r="X2">
        <f t="shared" si="0"/>
        <v>2025</v>
      </c>
      <c r="Y2">
        <f t="shared" si="0"/>
        <v>2026</v>
      </c>
      <c r="Z2">
        <f t="shared" si="0"/>
        <v>2027</v>
      </c>
      <c r="AA2">
        <f t="shared" si="0"/>
        <v>2028</v>
      </c>
    </row>
    <row r="3" spans="1:27" s="1" customFormat="1" x14ac:dyDescent="0.2">
      <c r="B3" s="1" t="s">
        <v>20</v>
      </c>
      <c r="C3" s="3"/>
      <c r="D3" s="3"/>
      <c r="E3" s="3"/>
      <c r="F3" s="3"/>
      <c r="G3" s="3"/>
      <c r="H3" s="3"/>
      <c r="I3" s="3">
        <v>301.65699999999998</v>
      </c>
      <c r="J3" s="3"/>
      <c r="K3" s="3"/>
      <c r="L3" s="3"/>
      <c r="M3" s="3">
        <v>300.85399999999998</v>
      </c>
      <c r="N3" s="3"/>
      <c r="R3" s="1">
        <v>539.28800000000001</v>
      </c>
      <c r="S3" s="1">
        <v>674.34500000000003</v>
      </c>
      <c r="T3" s="1">
        <v>1042.1120000000001</v>
      </c>
    </row>
    <row r="4" spans="1:27" s="1" customFormat="1" x14ac:dyDescent="0.2">
      <c r="B4" s="1" t="s">
        <v>21</v>
      </c>
      <c r="C4" s="3"/>
      <c r="D4" s="3"/>
      <c r="E4" s="3"/>
      <c r="F4" s="3"/>
      <c r="G4" s="3"/>
      <c r="H4" s="3"/>
      <c r="I4" s="3">
        <v>238.417</v>
      </c>
      <c r="J4" s="3"/>
      <c r="K4" s="3"/>
      <c r="L4" s="3"/>
      <c r="M4" s="3">
        <v>299.66300000000001</v>
      </c>
      <c r="N4" s="3"/>
      <c r="R4" s="1">
        <v>240.50800000000001</v>
      </c>
      <c r="S4" s="1">
        <v>211.74799999999999</v>
      </c>
      <c r="T4" s="1">
        <v>880.65300000000002</v>
      </c>
    </row>
    <row r="5" spans="1:27" s="4" customFormat="1" x14ac:dyDescent="0.2">
      <c r="B5" s="4" t="s">
        <v>8</v>
      </c>
      <c r="C5" s="5"/>
      <c r="D5" s="5"/>
      <c r="E5" s="5"/>
      <c r="F5" s="5"/>
      <c r="G5" s="5"/>
      <c r="H5" s="5"/>
      <c r="I5" s="5">
        <f>+I3+I4</f>
        <v>540.07399999999996</v>
      </c>
      <c r="J5" s="5"/>
      <c r="K5" s="5"/>
      <c r="L5" s="5"/>
      <c r="M5" s="5">
        <f>+M3+M4</f>
        <v>600.51700000000005</v>
      </c>
      <c r="N5" s="5"/>
      <c r="R5" s="4">
        <f>+R3+R4</f>
        <v>779.79600000000005</v>
      </c>
      <c r="S5" s="4">
        <f>+S3+S4</f>
        <v>886.09300000000007</v>
      </c>
      <c r="T5" s="4">
        <f>+T3+T4</f>
        <v>1922.7650000000001</v>
      </c>
    </row>
    <row r="6" spans="1:27" s="1" customFormat="1" x14ac:dyDescent="0.2">
      <c r="B6" s="1" t="s">
        <v>22</v>
      </c>
      <c r="C6" s="3"/>
      <c r="D6" s="3"/>
      <c r="E6" s="3"/>
      <c r="F6" s="3"/>
      <c r="G6" s="3"/>
      <c r="H6" s="3"/>
      <c r="I6" s="3">
        <v>174.267</v>
      </c>
      <c r="J6" s="3"/>
      <c r="K6" s="3"/>
      <c r="L6" s="3"/>
      <c r="M6" s="3">
        <v>210.18899999999999</v>
      </c>
      <c r="N6" s="3"/>
      <c r="R6" s="1">
        <v>390.50400000000002</v>
      </c>
      <c r="S6" s="1">
        <v>437.48399999999998</v>
      </c>
      <c r="T6" s="1">
        <v>648.66</v>
      </c>
    </row>
    <row r="7" spans="1:27" s="1" customFormat="1" x14ac:dyDescent="0.2">
      <c r="B7" s="1" t="s">
        <v>23</v>
      </c>
      <c r="C7" s="3"/>
      <c r="D7" s="3"/>
      <c r="E7" s="3"/>
      <c r="F7" s="3"/>
      <c r="G7" s="3"/>
      <c r="H7" s="3"/>
      <c r="I7" s="3">
        <v>238.505</v>
      </c>
      <c r="J7" s="3"/>
      <c r="K7" s="3"/>
      <c r="L7" s="3"/>
      <c r="M7" s="3">
        <v>332.25099999999998</v>
      </c>
      <c r="N7" s="3"/>
      <c r="R7" s="1">
        <v>245.18899999999999</v>
      </c>
      <c r="S7" s="1">
        <v>216.499</v>
      </c>
      <c r="T7" s="1">
        <v>870.28499999999997</v>
      </c>
    </row>
    <row r="8" spans="1:27" s="1" customFormat="1" x14ac:dyDescent="0.2">
      <c r="B8" s="1" t="s">
        <v>24</v>
      </c>
      <c r="C8" s="3"/>
      <c r="D8" s="3"/>
      <c r="E8" s="3"/>
      <c r="F8" s="3"/>
      <c r="G8" s="3"/>
      <c r="H8" s="3"/>
      <c r="I8" s="3">
        <f>+I6+I7</f>
        <v>412.77199999999999</v>
      </c>
      <c r="J8" s="3"/>
      <c r="K8" s="3"/>
      <c r="L8" s="3"/>
      <c r="M8" s="3">
        <f>+M6+M7</f>
        <v>542.43999999999994</v>
      </c>
      <c r="N8" s="3"/>
      <c r="R8" s="1">
        <f>+R6+R7</f>
        <v>635.69299999999998</v>
      </c>
      <c r="S8" s="1">
        <f t="shared" ref="S8:T8" si="1">+S6+S7</f>
        <v>653.98299999999995</v>
      </c>
      <c r="T8" s="1">
        <f t="shared" si="1"/>
        <v>1518.9449999999999</v>
      </c>
    </row>
    <row r="9" spans="1:27" s="1" customFormat="1" x14ac:dyDescent="0.2">
      <c r="B9" s="1" t="s">
        <v>25</v>
      </c>
      <c r="C9" s="3"/>
      <c r="D9" s="3"/>
      <c r="E9" s="3"/>
      <c r="F9" s="3"/>
      <c r="G9" s="3"/>
      <c r="H9" s="3"/>
      <c r="I9" s="3">
        <f>+I5-I8</f>
        <v>127.30199999999996</v>
      </c>
      <c r="J9" s="3"/>
      <c r="K9" s="3"/>
      <c r="L9" s="3"/>
      <c r="M9" s="3">
        <f>+M5-M8</f>
        <v>58.077000000000112</v>
      </c>
      <c r="N9" s="3"/>
      <c r="R9" s="1">
        <f>+R5-R8</f>
        <v>144.10300000000007</v>
      </c>
      <c r="S9" s="1">
        <f t="shared" ref="S9:T9" si="2">+S5-S8</f>
        <v>232.11000000000013</v>
      </c>
      <c r="T9" s="1">
        <f t="shared" si="2"/>
        <v>403.82000000000016</v>
      </c>
    </row>
    <row r="10" spans="1:27" s="1" customFormat="1" x14ac:dyDescent="0.2">
      <c r="B10" s="1" t="s">
        <v>26</v>
      </c>
      <c r="C10" s="3"/>
      <c r="D10" s="3"/>
      <c r="E10" s="3"/>
      <c r="F10" s="3"/>
      <c r="G10" s="3"/>
      <c r="H10" s="3"/>
      <c r="I10" s="3">
        <v>43.658000000000001</v>
      </c>
      <c r="J10" s="3"/>
      <c r="K10" s="3"/>
      <c r="L10" s="3"/>
      <c r="M10" s="3">
        <v>48.063000000000002</v>
      </c>
      <c r="N10" s="3"/>
      <c r="R10" s="1">
        <v>69.765000000000001</v>
      </c>
      <c r="S10" s="1">
        <v>84.296999999999997</v>
      </c>
      <c r="T10" s="1">
        <v>156.71799999999999</v>
      </c>
    </row>
    <row r="11" spans="1:27" s="1" customFormat="1" x14ac:dyDescent="0.2">
      <c r="B11" s="1" t="s">
        <v>27</v>
      </c>
      <c r="C11" s="3"/>
      <c r="D11" s="3"/>
      <c r="E11" s="3"/>
      <c r="F11" s="3"/>
      <c r="G11" s="3"/>
      <c r="H11" s="3"/>
      <c r="I11" s="3">
        <v>49.143000000000001</v>
      </c>
      <c r="J11" s="3"/>
      <c r="K11" s="3"/>
      <c r="L11" s="3"/>
      <c r="M11" s="3">
        <v>33.747999999999998</v>
      </c>
      <c r="N11" s="3"/>
      <c r="R11" s="1">
        <v>76.709999999999994</v>
      </c>
      <c r="S11" s="1">
        <v>54.881</v>
      </c>
      <c r="T11" s="1">
        <v>138.74</v>
      </c>
    </row>
    <row r="12" spans="1:27" s="1" customFormat="1" x14ac:dyDescent="0.2">
      <c r="B12" s="1" t="s">
        <v>28</v>
      </c>
      <c r="C12" s="3"/>
      <c r="D12" s="3"/>
      <c r="E12" s="3"/>
      <c r="F12" s="3"/>
      <c r="G12" s="3"/>
      <c r="H12" s="3"/>
      <c r="I12" s="3">
        <v>54.395000000000003</v>
      </c>
      <c r="J12" s="3"/>
      <c r="K12" s="3"/>
      <c r="L12" s="3"/>
      <c r="M12" s="3">
        <v>61.005000000000003</v>
      </c>
      <c r="N12" s="3"/>
      <c r="R12" s="1">
        <v>76.873999999999995</v>
      </c>
      <c r="S12" s="1">
        <v>92.14</v>
      </c>
      <c r="T12" s="1">
        <v>218.315</v>
      </c>
    </row>
    <row r="13" spans="1:27" s="1" customFormat="1" x14ac:dyDescent="0.2">
      <c r="B13" s="1" t="s">
        <v>29</v>
      </c>
      <c r="C13" s="3"/>
      <c r="D13" s="3"/>
      <c r="E13" s="3"/>
      <c r="F13" s="3"/>
      <c r="G13" s="3"/>
      <c r="H13" s="3"/>
      <c r="I13" s="1">
        <f>+I12+I11+I10</f>
        <v>147.19600000000003</v>
      </c>
      <c r="J13" s="3"/>
      <c r="K13" s="3"/>
      <c r="L13" s="3"/>
      <c r="M13" s="1">
        <f>+M12+M11+M10</f>
        <v>142.816</v>
      </c>
      <c r="N13" s="3"/>
      <c r="R13" s="1">
        <f>+R12+R11+R10</f>
        <v>223.34899999999999</v>
      </c>
      <c r="S13" s="1">
        <f t="shared" ref="S13:T13" si="3">+S12+S11+S10</f>
        <v>231.31800000000001</v>
      </c>
      <c r="T13" s="1">
        <f t="shared" si="3"/>
        <v>513.77300000000002</v>
      </c>
    </row>
    <row r="14" spans="1:27" s="1" customFormat="1" x14ac:dyDescent="0.2">
      <c r="B14" s="1" t="s">
        <v>30</v>
      </c>
      <c r="C14" s="3"/>
      <c r="D14" s="3"/>
      <c r="E14" s="3"/>
      <c r="F14" s="3"/>
      <c r="G14" s="3"/>
      <c r="H14" s="3"/>
      <c r="I14" s="1">
        <f>+I9-I13</f>
        <v>-19.894000000000062</v>
      </c>
      <c r="J14" s="3"/>
      <c r="K14" s="3"/>
      <c r="L14" s="3"/>
      <c r="M14" s="1">
        <f>+M9-M13</f>
        <v>-84.738999999999891</v>
      </c>
      <c r="N14" s="3"/>
      <c r="R14" s="1">
        <f>+R9-R13</f>
        <v>-79.245999999999924</v>
      </c>
      <c r="S14" s="1">
        <f t="shared" ref="S14:T14" si="4">+S9-S13</f>
        <v>0.79200000000011528</v>
      </c>
      <c r="T14" s="1">
        <f t="shared" si="4"/>
        <v>-109.95299999999986</v>
      </c>
    </row>
    <row r="15" spans="1:27" s="1" customFormat="1" x14ac:dyDescent="0.2">
      <c r="B15" s="1" t="s">
        <v>31</v>
      </c>
      <c r="C15" s="3"/>
      <c r="D15" s="3"/>
      <c r="E15" s="3"/>
      <c r="F15" s="3"/>
      <c r="G15" s="3"/>
      <c r="H15" s="3"/>
      <c r="I15" s="3">
        <f>0.178-3.672+0.311+4.128</f>
        <v>0.94499999999999984</v>
      </c>
      <c r="J15" s="3"/>
      <c r="K15" s="3"/>
      <c r="L15" s="3"/>
      <c r="M15" s="3">
        <f>1.174-5.359-0.905</f>
        <v>-5.0900000000000007</v>
      </c>
      <c r="N15" s="3"/>
      <c r="R15" s="1">
        <f>7.146-8.928+0.223</f>
        <v>-1.5590000000000008</v>
      </c>
      <c r="S15" s="1">
        <f>2.074-19.495-1.898</f>
        <v>-19.318999999999999</v>
      </c>
      <c r="T15" s="1">
        <f>0.635-11.762+5.36</f>
        <v>-5.7670000000000003</v>
      </c>
    </row>
    <row r="16" spans="1:27" s="1" customFormat="1" x14ac:dyDescent="0.2">
      <c r="B16" s="1" t="s">
        <v>32</v>
      </c>
      <c r="C16" s="3"/>
      <c r="D16" s="3"/>
      <c r="E16" s="3"/>
      <c r="F16" s="3"/>
      <c r="G16" s="3"/>
      <c r="H16" s="3"/>
      <c r="I16" s="1">
        <f>+I14+I15</f>
        <v>-18.949000000000062</v>
      </c>
      <c r="J16" s="3"/>
      <c r="K16" s="3"/>
      <c r="L16" s="3"/>
      <c r="M16" s="1">
        <f>+M14+M15</f>
        <v>-89.828999999999894</v>
      </c>
      <c r="N16" s="3"/>
      <c r="R16" s="1">
        <f>+R14+R15</f>
        <v>-80.804999999999922</v>
      </c>
      <c r="S16" s="1">
        <f t="shared" ref="S16:T16" si="5">+S14+S15</f>
        <v>-18.526999999999884</v>
      </c>
      <c r="T16" s="1">
        <f t="shared" si="5"/>
        <v>-115.71999999999986</v>
      </c>
    </row>
    <row r="17" spans="2:20" s="1" customFormat="1" x14ac:dyDescent="0.2">
      <c r="B17" s="1" t="s">
        <v>33</v>
      </c>
      <c r="C17" s="3"/>
      <c r="D17" s="3"/>
      <c r="E17" s="3"/>
      <c r="F17" s="3"/>
      <c r="G17" s="3"/>
      <c r="H17" s="3"/>
      <c r="I17" s="1">
        <v>0</v>
      </c>
      <c r="J17" s="3"/>
      <c r="K17" s="3"/>
      <c r="L17" s="3"/>
      <c r="M17" s="1">
        <v>0</v>
      </c>
      <c r="N17" s="3"/>
      <c r="R17" s="1">
        <v>0</v>
      </c>
      <c r="S17" s="1">
        <v>0</v>
      </c>
      <c r="T17" s="1">
        <v>0</v>
      </c>
    </row>
    <row r="18" spans="2:20" s="1" customFormat="1" x14ac:dyDescent="0.2">
      <c r="B18" s="1" t="s">
        <v>34</v>
      </c>
      <c r="C18" s="3"/>
      <c r="D18" s="3"/>
      <c r="E18" s="3"/>
      <c r="F18" s="3"/>
      <c r="G18" s="3"/>
      <c r="H18" s="3"/>
      <c r="I18" s="1">
        <f>+I16-I17</f>
        <v>-18.949000000000062</v>
      </c>
      <c r="J18" s="3"/>
      <c r="K18" s="3"/>
      <c r="L18" s="3"/>
      <c r="M18" s="1">
        <f>+M16-M17</f>
        <v>-89.828999999999894</v>
      </c>
      <c r="N18" s="3"/>
      <c r="R18" s="1">
        <f>+R16-R17</f>
        <v>-80.804999999999922</v>
      </c>
      <c r="S18" s="1">
        <f t="shared" ref="S18:T18" si="6">+S16-S17</f>
        <v>-18.526999999999884</v>
      </c>
      <c r="T18" s="1">
        <f t="shared" si="6"/>
        <v>-115.71999999999986</v>
      </c>
    </row>
    <row r="19" spans="2:20" x14ac:dyDescent="0.2">
      <c r="B19" t="s">
        <v>35</v>
      </c>
      <c r="I19" s="7">
        <f>+I18/I20</f>
        <v>-0.18021801386566966</v>
      </c>
      <c r="M19" s="7">
        <f>+M18/M20</f>
        <v>-0.82701388293085276</v>
      </c>
    </row>
    <row r="20" spans="2:20" s="1" customFormat="1" x14ac:dyDescent="0.2">
      <c r="B20" s="1" t="s">
        <v>1</v>
      </c>
      <c r="C20" s="3"/>
      <c r="D20" s="3"/>
      <c r="E20" s="3"/>
      <c r="F20" s="3"/>
      <c r="G20" s="3"/>
      <c r="H20" s="3"/>
      <c r="I20" s="1">
        <v>105.14487200000001</v>
      </c>
      <c r="J20" s="3"/>
      <c r="K20" s="3"/>
      <c r="L20" s="3"/>
      <c r="M20" s="1">
        <v>108.61849100000001</v>
      </c>
      <c r="N20" s="3"/>
      <c r="R20" s="1">
        <v>91.583533000000003</v>
      </c>
      <c r="S20" s="1">
        <v>98.574528999999998</v>
      </c>
      <c r="T20" s="1">
        <v>104.68346</v>
      </c>
    </row>
    <row r="22" spans="2:20" x14ac:dyDescent="0.2">
      <c r="B22" s="1" t="s">
        <v>36</v>
      </c>
      <c r="M22" s="8">
        <f>+M5/I5-1</f>
        <v>0.11191614482459822</v>
      </c>
      <c r="S22" s="6">
        <f>+S5/R5-1</f>
        <v>0.13631385644450611</v>
      </c>
      <c r="T22" s="6">
        <f>+T5/S5-1</f>
        <v>1.1699358870908583</v>
      </c>
    </row>
    <row r="23" spans="2:20" x14ac:dyDescent="0.2">
      <c r="B23" t="s">
        <v>37</v>
      </c>
      <c r="M23" s="6">
        <f>+M9/M5</f>
        <v>9.6711666780457686E-2</v>
      </c>
      <c r="R23" s="6">
        <f>+R9/R5</f>
        <v>0.18479576709806161</v>
      </c>
      <c r="S23" s="6">
        <f t="shared" ref="S23:T23" si="7">+S9/S5</f>
        <v>0.26194767366405119</v>
      </c>
      <c r="T23" s="6">
        <f t="shared" si="7"/>
        <v>0.21002046531947488</v>
      </c>
    </row>
    <row r="25" spans="2:20" x14ac:dyDescent="0.2">
      <c r="B25" t="s">
        <v>38</v>
      </c>
      <c r="R25" s="1">
        <v>-107.61</v>
      </c>
      <c r="S25" s="1">
        <v>61.267000000000003</v>
      </c>
      <c r="T25" s="1">
        <v>-301.56799999999998</v>
      </c>
    </row>
    <row r="27" spans="2:20" x14ac:dyDescent="0.2">
      <c r="B27" t="s">
        <v>56</v>
      </c>
      <c r="M27" s="3">
        <f>+M28-M43</f>
        <v>-1163.79</v>
      </c>
    </row>
    <row r="28" spans="2:20" s="1" customFormat="1" x14ac:dyDescent="0.2">
      <c r="B28" s="1" t="s">
        <v>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>
        <f>359.724+43.992+110.316+41.677</f>
        <v>555.70900000000006</v>
      </c>
      <c r="N28" s="3"/>
    </row>
    <row r="29" spans="2:20" s="1" customFormat="1" x14ac:dyDescent="0.2">
      <c r="B29" s="1" t="s">
        <v>39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>
        <v>96.343000000000004</v>
      </c>
      <c r="N29" s="3"/>
    </row>
    <row r="30" spans="2:20" s="1" customFormat="1" x14ac:dyDescent="0.2">
      <c r="B30" s="1" t="s">
        <v>40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>
        <v>301.23099999999999</v>
      </c>
      <c r="N30" s="3"/>
    </row>
    <row r="31" spans="2:20" s="1" customFormat="1" x14ac:dyDescent="0.2">
      <c r="B31" s="1" t="s">
        <v>41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>
        <v>256.339</v>
      </c>
      <c r="N31" s="3"/>
    </row>
    <row r="32" spans="2:20" s="1" customFormat="1" x14ac:dyDescent="0.2">
      <c r="B32" s="1" t="s">
        <v>42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>
        <v>27.361000000000001</v>
      </c>
      <c r="N32" s="3"/>
    </row>
    <row r="33" spans="2:14" s="1" customFormat="1" x14ac:dyDescent="0.2">
      <c r="B33" s="1" t="s">
        <v>43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>
        <v>26.738</v>
      </c>
      <c r="N33" s="3"/>
    </row>
    <row r="34" spans="2:14" x14ac:dyDescent="0.2">
      <c r="B34" s="1" t="s">
        <v>44</v>
      </c>
      <c r="M34" s="3">
        <v>59.238</v>
      </c>
    </row>
    <row r="35" spans="2:14" x14ac:dyDescent="0.2">
      <c r="B35" s="1" t="s">
        <v>45</v>
      </c>
      <c r="M35" s="3">
        <v>45.646999999999998</v>
      </c>
    </row>
    <row r="36" spans="2:14" x14ac:dyDescent="0.2">
      <c r="B36" s="1" t="s">
        <v>49</v>
      </c>
      <c r="M36" s="3">
        <v>36.914000000000001</v>
      </c>
    </row>
    <row r="37" spans="2:14" x14ac:dyDescent="0.2">
      <c r="B37" s="1" t="s">
        <v>46</v>
      </c>
      <c r="M37" s="3">
        <f>461.349+172.019</f>
        <v>633.36799999999994</v>
      </c>
    </row>
    <row r="38" spans="2:14" x14ac:dyDescent="0.2">
      <c r="B38" s="1" t="s">
        <v>47</v>
      </c>
      <c r="M38" s="3">
        <v>12.054</v>
      </c>
    </row>
    <row r="39" spans="2:14" x14ac:dyDescent="0.2">
      <c r="B39" s="1" t="s">
        <v>48</v>
      </c>
      <c r="M39" s="3">
        <f>SUM(M28:M38)</f>
        <v>2050.942</v>
      </c>
    </row>
    <row r="41" spans="2:14" x14ac:dyDescent="0.2">
      <c r="B41" s="1" t="s">
        <v>50</v>
      </c>
      <c r="M41" s="3">
        <v>12.422000000000001</v>
      </c>
    </row>
    <row r="42" spans="2:14" x14ac:dyDescent="0.2">
      <c r="B42" s="1" t="s">
        <v>51</v>
      </c>
      <c r="M42" s="3">
        <v>133.88499999999999</v>
      </c>
    </row>
    <row r="43" spans="2:14" x14ac:dyDescent="0.2">
      <c r="B43" t="s">
        <v>4</v>
      </c>
      <c r="M43" s="3">
        <f>23.393+1217.768+202.416+252.529+23.393</f>
        <v>1719.499</v>
      </c>
    </row>
    <row r="44" spans="2:14" x14ac:dyDescent="0.2">
      <c r="B44" s="1" t="s">
        <v>55</v>
      </c>
      <c r="M44" s="3">
        <f>21.094+39.803</f>
        <v>60.896999999999998</v>
      </c>
    </row>
    <row r="45" spans="2:14" x14ac:dyDescent="0.2">
      <c r="B45" t="s">
        <v>54</v>
      </c>
      <c r="M45" s="3">
        <v>0.34399999999999997</v>
      </c>
    </row>
    <row r="46" spans="2:14" x14ac:dyDescent="0.2">
      <c r="B46" t="s">
        <v>53</v>
      </c>
      <c r="M46" s="3">
        <f>107.386+39.902</f>
        <v>147.28800000000001</v>
      </c>
    </row>
    <row r="47" spans="2:14" x14ac:dyDescent="0.2">
      <c r="B47" t="s">
        <v>52</v>
      </c>
      <c r="M47" s="3">
        <f>SUM(M41:M46)</f>
        <v>2074.335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2023-02-08T19:01:32Z</dcterms:created>
  <dcterms:modified xsi:type="dcterms:W3CDTF">2025-10-15T11:38:29Z</dcterms:modified>
</cp:coreProperties>
</file>