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13_ncr:1_{D5886F44-525B-404C-97B6-87B7DBBABA14}" xr6:coauthVersionLast="47" xr6:coauthVersionMax="47" xr10:uidLastSave="{00000000-0000-0000-0000-000000000000}"/>
  <bookViews>
    <workbookView xWindow="1800" yWindow="1845" windowWidth="18075" windowHeight="16020" activeTab="1" xr2:uid="{A54D3B08-E225-4A58-B8D9-88B8FEFFB13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2" l="1"/>
  <c r="O43" i="2"/>
  <c r="O44" i="2"/>
  <c r="O45" i="2"/>
  <c r="O33" i="2"/>
  <c r="O31" i="2"/>
  <c r="O30" i="2"/>
  <c r="O32" i="2"/>
  <c r="O36" i="2"/>
  <c r="O27" i="2"/>
  <c r="O22" i="2"/>
  <c r="K22" i="2"/>
  <c r="O20" i="2"/>
  <c r="K20" i="2"/>
  <c r="K17" i="2"/>
  <c r="K28" i="2" s="1"/>
  <c r="O17" i="2"/>
  <c r="O28" i="2" s="1"/>
  <c r="N2" i="2"/>
  <c r="R2" i="2" s="1"/>
  <c r="M2" i="2"/>
  <c r="Q2" i="2" s="1"/>
  <c r="L2" i="2"/>
  <c r="P2" i="2" s="1"/>
  <c r="K2" i="2"/>
  <c r="O2" i="2" s="1"/>
  <c r="O48" i="2" l="1"/>
  <c r="K21" i="2"/>
  <c r="K23" i="2" s="1"/>
  <c r="K25" i="2" s="1"/>
  <c r="O21" i="2"/>
  <c r="O23" i="2" s="1"/>
  <c r="O25" i="2" s="1"/>
  <c r="O38" i="2"/>
  <c r="I42" i="2" l="1"/>
  <c r="I48" i="2"/>
  <c r="I36" i="2"/>
  <c r="I30" i="2"/>
  <c r="I38" i="2" s="1"/>
  <c r="K4" i="1"/>
  <c r="G27" i="2"/>
  <c r="D24" i="2"/>
  <c r="E24" i="2" s="1"/>
  <c r="C22" i="2"/>
  <c r="C20" i="2"/>
  <c r="D18" i="2"/>
  <c r="E18" i="2" s="1"/>
  <c r="D19" i="2"/>
  <c r="E19" i="2" s="1"/>
  <c r="C17" i="2"/>
  <c r="D16" i="2"/>
  <c r="E16" i="2" s="1"/>
  <c r="D15" i="2"/>
  <c r="E15" i="2" s="1"/>
  <c r="H24" i="2"/>
  <c r="I24" i="2" s="1"/>
  <c r="G22" i="2"/>
  <c r="H22" i="2" s="1"/>
  <c r="G20" i="2"/>
  <c r="H18" i="2"/>
  <c r="I18" i="2" s="1"/>
  <c r="H19" i="2"/>
  <c r="I19" i="2" s="1"/>
  <c r="H16" i="2"/>
  <c r="I16" i="2" s="1"/>
  <c r="H15" i="2"/>
  <c r="I15" i="2" s="1"/>
  <c r="G17" i="2"/>
  <c r="G28" i="2" s="1"/>
  <c r="H13" i="2"/>
  <c r="H12" i="2"/>
  <c r="H11" i="2"/>
  <c r="H10" i="2"/>
  <c r="H6" i="2"/>
  <c r="H5" i="2"/>
  <c r="H46" i="2"/>
  <c r="H44" i="2"/>
  <c r="H43" i="2"/>
  <c r="H42" i="2"/>
  <c r="H36" i="2"/>
  <c r="H33" i="2"/>
  <c r="H30" i="2"/>
  <c r="H32" i="2"/>
  <c r="H20" i="2"/>
  <c r="D20" i="2" l="1"/>
  <c r="E17" i="2"/>
  <c r="C21" i="2"/>
  <c r="I20" i="2"/>
  <c r="G21" i="2"/>
  <c r="G23" i="2" s="1"/>
  <c r="G25" i="2" s="1"/>
  <c r="H27" i="2"/>
  <c r="H17" i="2"/>
  <c r="H21" i="2" s="1"/>
  <c r="H23" i="2" s="1"/>
  <c r="H25" i="2" s="1"/>
  <c r="K7" i="1"/>
  <c r="E28" i="2"/>
  <c r="E20" i="2"/>
  <c r="E21" i="2" s="1"/>
  <c r="E23" i="2" s="1"/>
  <c r="E25" i="2" s="1"/>
  <c r="I27" i="2"/>
  <c r="I17" i="2"/>
  <c r="C23" i="2"/>
  <c r="C25" i="2" s="1"/>
  <c r="C28" i="2"/>
  <c r="D17" i="2"/>
  <c r="D21" i="2" s="1"/>
  <c r="D22" i="2"/>
  <c r="H48" i="2"/>
  <c r="H38" i="2"/>
  <c r="D23" i="2" l="1"/>
  <c r="D25" i="2" s="1"/>
  <c r="D28" i="2"/>
  <c r="H28" i="2"/>
  <c r="I28" i="2"/>
  <c r="I21" i="2"/>
  <c r="I23" i="2" s="1"/>
  <c r="I25" i="2" s="1"/>
</calcChain>
</file>

<file path=xl/sharedStrings.xml><?xml version="1.0" encoding="utf-8"?>
<sst xmlns="http://schemas.openxmlformats.org/spreadsheetml/2006/main" count="112" uniqueCount="101">
  <si>
    <t>Price JPY</t>
  </si>
  <si>
    <t>Shares</t>
  </si>
  <si>
    <t>MC JPY</t>
  </si>
  <si>
    <t>Cash JPY</t>
  </si>
  <si>
    <t>Debt JPY</t>
  </si>
  <si>
    <t>EV JPY</t>
  </si>
  <si>
    <t>Main</t>
  </si>
  <si>
    <t>Revenue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</si>
  <si>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</si>
  <si>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</si>
  <si>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</si>
  <si>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</si>
  <si>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</si>
  <si>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</si>
  <si>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</si>
  <si>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</si>
  <si>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</si>
  <si>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</si>
  <si>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SG&amp;A</t>
  </si>
  <si>
    <t>R&amp;D</t>
  </si>
  <si>
    <t>OpEx</t>
  </si>
  <si>
    <t>OpInc</t>
  </si>
  <si>
    <t>Other</t>
  </si>
  <si>
    <t>Pretax</t>
  </si>
  <si>
    <t>Taxes</t>
  </si>
  <si>
    <t>Net Income</t>
  </si>
  <si>
    <t>Cash</t>
  </si>
  <si>
    <t>OCA</t>
  </si>
  <si>
    <t>Inventory</t>
  </si>
  <si>
    <t>AR</t>
  </si>
  <si>
    <t>Tax</t>
  </si>
  <si>
    <t>ONCA</t>
  </si>
  <si>
    <t>Assets</t>
  </si>
  <si>
    <t>Goodwill</t>
  </si>
  <si>
    <t>PP&amp;E</t>
  </si>
  <si>
    <t>OCL</t>
  </si>
  <si>
    <t>S/E</t>
  </si>
  <si>
    <t>Debt</t>
  </si>
  <si>
    <t>Provisions</t>
  </si>
  <si>
    <t>AP</t>
  </si>
  <si>
    <t>ONCL</t>
  </si>
  <si>
    <t>L+SE</t>
  </si>
  <si>
    <t>Pension</t>
  </si>
  <si>
    <t>Revenue y/y</t>
  </si>
  <si>
    <t>Gross Margin</t>
  </si>
  <si>
    <t>Xtandi</t>
  </si>
  <si>
    <t>Padcev</t>
  </si>
  <si>
    <t>Xospata</t>
  </si>
  <si>
    <t>Evrenzo</t>
  </si>
  <si>
    <t>Prograf</t>
  </si>
  <si>
    <t>Betanis</t>
  </si>
  <si>
    <t>ASP3082</t>
  </si>
  <si>
    <t>Name</t>
  </si>
  <si>
    <t>Xtandi (enzalutamide)</t>
  </si>
  <si>
    <t>Indication</t>
  </si>
  <si>
    <t>Economics</t>
  </si>
  <si>
    <t>Betanis/Myrbetriq/Betmiga</t>
  </si>
  <si>
    <t>Repatha</t>
  </si>
  <si>
    <t>Linzess</t>
  </si>
  <si>
    <t>Blincyto</t>
  </si>
  <si>
    <t>Evenity</t>
  </si>
  <si>
    <t>Cimzia</t>
  </si>
  <si>
    <t>Padcev (efortumab vedotin)</t>
  </si>
  <si>
    <t>Xospata (gilteritinib)</t>
  </si>
  <si>
    <t>Evrenzo (roxadustat)</t>
  </si>
  <si>
    <t>AT845</t>
  </si>
  <si>
    <t>Pompe</t>
  </si>
  <si>
    <t>AT132</t>
  </si>
  <si>
    <t>XLMTM</t>
  </si>
  <si>
    <t>Q123</t>
  </si>
  <si>
    <t>Q223</t>
  </si>
  <si>
    <t>Q323</t>
  </si>
  <si>
    <t>Q423</t>
  </si>
  <si>
    <t>Q124</t>
  </si>
  <si>
    <t>Q224</t>
  </si>
  <si>
    <t>Q324</t>
  </si>
  <si>
    <t>Q424</t>
  </si>
  <si>
    <t>Izervay</t>
  </si>
  <si>
    <t>Veozah</t>
  </si>
  <si>
    <t>Vyloy</t>
  </si>
  <si>
    <t>CEO: Naoki Okamura</t>
  </si>
  <si>
    <t>Prostate</t>
  </si>
  <si>
    <t>Urothelial</t>
  </si>
  <si>
    <t>AML</t>
  </si>
  <si>
    <t>Anemia</t>
  </si>
  <si>
    <t>Transplant</t>
  </si>
  <si>
    <t>Lipid</t>
  </si>
  <si>
    <t>Constipation</t>
  </si>
  <si>
    <t>Leukemia</t>
  </si>
  <si>
    <t>Osteoporosis</t>
  </si>
  <si>
    <t>Immunology</t>
  </si>
  <si>
    <t>KRAS</t>
  </si>
  <si>
    <t>Flagship</t>
  </si>
  <si>
    <t>Growth</t>
  </si>
  <si>
    <t>Core</t>
  </si>
  <si>
    <t>Midstage</t>
  </si>
  <si>
    <t>Mature</t>
  </si>
  <si>
    <t>Licensed</t>
  </si>
  <si>
    <t>OAB</t>
  </si>
  <si>
    <t>Pipeline</t>
  </si>
  <si>
    <t>Exploratory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</si>
</sst>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yyyy/mm/dd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0" fillId="0" borderId="0" xfId="0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98634D8F-39B6-4BE4-B257-BA66D5F62B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3216</xdr:colOff>
      <xdr:row>0</xdr:row>
      <xdr:rowOff>0</xdr:rowOff>
    </xdr:from>
    <xdr:to>
      <xdr:col>9</xdr:col>
      <xdr:colOff>3216</xdr:colOff>
      <xdr:row>52</xdr:row>
      <xdr:rowOff>43296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9BA3083-2871-715C-634B-1807AD7FEA07}"/>
            </a:ext>
          </a:extLst>
        </xdr:cNvPr>
        <xdr:cNvCxnSpPr/>
      </xdr:nvCxnSpPr>
      <xdr:spPr>
        <a:xfrm>
          <a:off x="8058645" y="0"/>
          <a:ext cx="0" cy="7881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F844-253E-42C7-896B-9951B83D0D9E}">
  <dimension ref="B2:L23"/>
  <sheetViews>
    <sheetView zoomScale="130" zoomScaleNormal="130" workbookViewId="0">
      <selection activeCell="K16" sqref="K16"/>
    </sheetView>
  </sheetViews>
  <sheetFormatPr defaultRowHeight="12.75" x14ac:dyDescent="0.2"/>
  <cols>
    <col min="1" max="1" width="4" customWidth="1"/>
    <col min="2" max="2" width="23.5703125" bestFit="1" customWidth="1"/>
    <col min="3" max="3" width="11" customWidth="1"/>
    <col min="4" max="4" width="10.7109375" customWidth="1"/>
    <col min="10" max="10" width="9.85546875" customWidth="1"/>
    <col min="11" max="11" width="9.7109375" customWidth="1"/>
  </cols>
  <sheetData>
    <row r="2" spans="2:12" x14ac:dyDescent="0.2">
      <c r="B2" s="10" t="s">
        <v>52</v>
      </c>
      <c r="C2" s="13" t="s">
        <v>54</v>
      </c>
      <c r="D2" s="13" t="s">
        <v>55</v>
      </c>
      <c r="E2" s="13"/>
      <c r="F2" s="13"/>
      <c r="G2" s="13"/>
      <c r="H2" s="14"/>
      <c r="J2" t="s">
        <v>0</v>
      </c>
      <c r="K2" s="1">
        <v>1792</v>
      </c>
    </row>
    <row r="3" spans="2:12" x14ac:dyDescent="0.2">
      <c r="B3" s="5" t="s">
        <v>53</v>
      </c>
      <c r="C3" s="25" t="s">
        <v>81</v>
      </c>
      <c r="D3" t="s">
        <v>92</v>
      </c>
      <c r="E3" s="15"/>
      <c r="F3" s="15"/>
      <c r="G3" s="15"/>
      <c r="H3" s="16"/>
      <c r="J3" t="s">
        <v>1</v>
      </c>
      <c r="K3" s="1">
        <v>1822.6130000000001</v>
      </c>
      <c r="L3" s="2" t="s">
        <v>74</v>
      </c>
    </row>
    <row r="4" spans="2:12" x14ac:dyDescent="0.2">
      <c r="B4" s="5" t="s">
        <v>62</v>
      </c>
      <c r="C4" s="25" t="s">
        <v>82</v>
      </c>
      <c r="D4" t="s">
        <v>93</v>
      </c>
      <c r="E4" s="15"/>
      <c r="F4" s="15"/>
      <c r="G4" s="15"/>
      <c r="H4" s="16"/>
      <c r="J4" t="s">
        <v>2</v>
      </c>
      <c r="K4" s="1">
        <f>+K2*K3</f>
        <v>3266122.4960000003</v>
      </c>
      <c r="L4" s="2"/>
    </row>
    <row r="5" spans="2:12" x14ac:dyDescent="0.2">
      <c r="B5" s="5" t="s">
        <v>63</v>
      </c>
      <c r="C5" s="25" t="s">
        <v>83</v>
      </c>
      <c r="D5" s="25" t="s">
        <v>94</v>
      </c>
      <c r="E5" s="15"/>
      <c r="F5" s="15"/>
      <c r="G5" s="15"/>
      <c r="H5" s="16"/>
      <c r="J5" t="s">
        <v>3</v>
      </c>
      <c r="K5" s="1">
        <v>471543</v>
      </c>
      <c r="L5" s="2" t="s">
        <v>74</v>
      </c>
    </row>
    <row r="6" spans="2:12" x14ac:dyDescent="0.2">
      <c r="B6" s="5" t="s">
        <v>64</v>
      </c>
      <c r="C6" t="s">
        <v>84</v>
      </c>
      <c r="D6" t="s">
        <v>95</v>
      </c>
      <c r="E6" s="15"/>
      <c r="F6" s="15"/>
      <c r="G6" s="15"/>
      <c r="H6" s="16"/>
      <c r="J6" t="s">
        <v>4</v>
      </c>
      <c r="K6" s="1">
        <v>1202652</v>
      </c>
      <c r="L6" s="2" t="s">
        <v>74</v>
      </c>
    </row>
    <row r="7" spans="2:12" x14ac:dyDescent="0.2">
      <c r="B7" s="5" t="s">
        <v>49</v>
      </c>
      <c r="C7" t="s">
        <v>85</v>
      </c>
      <c r="D7" t="s">
        <v>96</v>
      </c>
      <c r="E7" s="15"/>
      <c r="F7" s="15"/>
      <c r="G7" s="15"/>
      <c r="H7" s="16"/>
      <c r="J7" t="s">
        <v>5</v>
      </c>
      <c r="K7" s="1">
        <f>+K4-K5+K6</f>
        <v>3997231.4960000003</v>
      </c>
    </row>
    <row r="8" spans="2:12" x14ac:dyDescent="0.2">
      <c r="B8" s="5" t="s">
        <v>57</v>
      </c>
      <c r="C8" t="s">
        <v>86</v>
      </c>
      <c r="D8" t="s">
        <v>97</v>
      </c>
      <c r="E8" s="15"/>
      <c r="F8" s="15"/>
      <c r="G8" s="15"/>
      <c r="H8" s="16"/>
      <c r="K8" s="1"/>
    </row>
    <row r="9" spans="2:12" ht="12" customHeight="1" x14ac:dyDescent="0.2">
      <c r="B9" s="5" t="s">
        <v>58</v>
      </c>
      <c r="C9" s="25" t="s">
        <v>87</v>
      </c>
      <c r="D9" t="s">
        <v>97</v>
      </c>
      <c r="E9" s="15"/>
      <c r="F9" s="15"/>
      <c r="G9" s="15"/>
      <c r="H9" s="16"/>
      <c r="J9" t="s">
        <v>80</v>
      </c>
      <c r="K9" s="1"/>
    </row>
    <row r="10" spans="2:12" x14ac:dyDescent="0.2">
      <c r="B10" s="5" t="s">
        <v>59</v>
      </c>
      <c r="C10" t="s">
        <v>88</v>
      </c>
      <c r="D10" t="s">
        <v>97</v>
      </c>
      <c r="E10" s="15"/>
      <c r="F10" s="15"/>
      <c r="G10" s="15"/>
      <c r="H10" s="16"/>
      <c r="K10" s="1"/>
    </row>
    <row r="11" spans="2:12" x14ac:dyDescent="0.2">
      <c r="B11" s="5" t="s">
        <v>60</v>
      </c>
      <c r="C11" t="s">
        <v>89</v>
      </c>
      <c r="D11" t="s">
        <v>97</v>
      </c>
      <c r="E11" s="15"/>
      <c r="F11" s="15"/>
      <c r="G11" s="15"/>
      <c r="H11" s="16"/>
      <c r="K11" s="1"/>
    </row>
    <row r="12" spans="2:12" x14ac:dyDescent="0.2">
      <c r="B12" s="5" t="s">
        <v>61</v>
      </c>
      <c r="C12" t="s">
        <v>90</v>
      </c>
      <c r="D12" t="s">
        <v>97</v>
      </c>
      <c r="E12" s="15"/>
      <c r="F12" s="15"/>
      <c r="G12" s="15"/>
      <c r="H12" s="16"/>
      <c r="K12" s="1"/>
    </row>
    <row r="13" spans="2:12" x14ac:dyDescent="0.2">
      <c r="B13" s="7" t="s">
        <v>56</v>
      </c>
      <c r="C13" t="s">
        <v>98</v>
      </c>
      <c r="D13" t="s">
        <v>97</v>
      </c>
      <c r="E13" s="17"/>
      <c r="F13" s="17"/>
      <c r="G13" s="17"/>
      <c r="H13" s="18"/>
    </row>
    <row r="14" spans="2:12" x14ac:dyDescent="0.2">
      <c r="B14" s="10"/>
      <c r="C14" s="11"/>
      <c r="D14" s="11"/>
      <c r="E14" s="11"/>
      <c r="F14" s="11"/>
      <c r="G14" s="11"/>
      <c r="H14" s="12"/>
    </row>
    <row r="15" spans="2:12" x14ac:dyDescent="0.2">
      <c r="B15" s="5" t="s">
        <v>65</v>
      </c>
      <c r="C15" t="s">
        <v>66</v>
      </c>
      <c r="D15" t="s">
        <v>99</v>
      </c>
      <c r="H15" s="6"/>
    </row>
    <row r="16" spans="2:12" x14ac:dyDescent="0.2">
      <c r="B16" s="5" t="s">
        <v>67</v>
      </c>
      <c r="C16" t="s">
        <v>68</v>
      </c>
      <c r="D16" t="s">
        <v>99</v>
      </c>
      <c r="H16" s="6"/>
    </row>
    <row r="17" spans="2:8" x14ac:dyDescent="0.2">
      <c r="B17" s="5"/>
      <c r="H17" s="6"/>
    </row>
    <row r="18" spans="2:8" x14ac:dyDescent="0.2">
      <c r="B18" s="5" t="s">
        <v>51</v>
      </c>
      <c r="C18" t="s">
        <v>91</v>
      </c>
      <c r="D18" t="s">
        <v>100</v>
      </c>
      <c r="H18" s="6"/>
    </row>
    <row r="19" spans="2:8" x14ac:dyDescent="0.2">
      <c r="B19" s="5"/>
      <c r="H19" s="6"/>
    </row>
    <row r="20" spans="2:8" x14ac:dyDescent="0.2">
      <c r="B20" s="5"/>
      <c r="H20" s="6"/>
    </row>
    <row r="21" spans="2:8" x14ac:dyDescent="0.2">
      <c r="B21" s="5"/>
      <c r="H21" s="6"/>
    </row>
    <row r="22" spans="2:8" x14ac:dyDescent="0.2">
      <c r="B22" s="5"/>
      <c r="H22" s="6"/>
    </row>
    <row r="23" spans="2:8" x14ac:dyDescent="0.2">
      <c r="B23" s="7"/>
      <c r="C23" s="8"/>
      <c r="D23" s="8"/>
      <c r="E23" s="8"/>
      <c r="F23" s="8"/>
      <c r="G23" s="8"/>
      <c r="H23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DD14-34D2-4EF9-B844-A3F2BC725485}">
  <dimension ref="A1:R48"/>
  <sheetViews>
    <sheetView tabSelected="1" zoomScaleNormal="100" workbookViewId="0">
      <pane xSplit="2" ySplit="3" topLeftCell="E4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RowHeight="12.75" x14ac:dyDescent="0.2"/>
  <cols>
    <col min="1" max="1" width="5" bestFit="1" customWidth="1"/>
    <col min="2" max="2" width="12.28515625" customWidth="1"/>
    <col min="3" max="6" width="10.140625" style="2" bestFit="1" customWidth="1"/>
    <col min="7" max="18" width="10.140625" bestFit="1" customWidth="1"/>
  </cols>
  <sheetData>
    <row r="1" spans="1:18" x14ac:dyDescent="0.2">
      <c r="A1" s="22" t="s">
        <v>6</v>
      </c>
    </row>
    <row r="2" spans="1:18" s="19" customFormat="1" x14ac:dyDescent="0.2">
      <c r="C2" s="23">
        <v>44377</v>
      </c>
      <c r="D2" s="23">
        <v>44469</v>
      </c>
      <c r="E2" s="23">
        <v>44561</v>
      </c>
      <c r="F2" s="23">
        <v>44651</v>
      </c>
      <c r="G2" s="24">
        <v>44742</v>
      </c>
      <c r="H2" s="24">
        <v>44834</v>
      </c>
      <c r="I2" s="24">
        <v>44926</v>
      </c>
      <c r="J2" s="24">
        <v>45016</v>
      </c>
      <c r="K2" s="24">
        <f>+G2+365</f>
        <v>45107</v>
      </c>
      <c r="L2" s="24">
        <f>+H2+365</f>
        <v>45199</v>
      </c>
      <c r="M2" s="24">
        <f>+I2+365</f>
        <v>45291</v>
      </c>
      <c r="N2" s="24">
        <f>+J2+366</f>
        <v>45382</v>
      </c>
      <c r="O2" s="24">
        <f>+K2+366</f>
        <v>45473</v>
      </c>
      <c r="P2" s="24">
        <f>+L2+366</f>
        <v>45565</v>
      </c>
      <c r="Q2" s="24">
        <f>+M2+366</f>
        <v>45657</v>
      </c>
      <c r="R2" s="24">
        <f>+N2+365</f>
        <v>45747</v>
      </c>
    </row>
    <row r="3" spans="1:18" x14ac:dyDescent="0.2"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69</v>
      </c>
      <c r="L3" s="2" t="s">
        <v>70</v>
      </c>
      <c r="M3" s="2" t="s">
        <v>71</v>
      </c>
      <c r="N3" s="2" t="s">
        <v>72</v>
      </c>
      <c r="O3" s="2" t="s">
        <v>73</v>
      </c>
      <c r="P3" s="2" t="s">
        <v>74</v>
      </c>
      <c r="Q3" s="2" t="s">
        <v>75</v>
      </c>
      <c r="R3" s="2" t="s">
        <v>76</v>
      </c>
    </row>
    <row r="4" spans="1:18" x14ac:dyDescent="0.2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s="1" customFormat="1" x14ac:dyDescent="0.2">
      <c r="B5" s="1" t="s">
        <v>45</v>
      </c>
      <c r="C5" s="3"/>
      <c r="D5" s="3"/>
      <c r="E5" s="3"/>
      <c r="F5" s="3"/>
      <c r="G5" s="3">
        <v>162400</v>
      </c>
      <c r="H5" s="3">
        <f>332000-G5</f>
        <v>169600</v>
      </c>
      <c r="I5" s="3">
        <v>179800</v>
      </c>
      <c r="J5" s="3"/>
      <c r="K5" s="1">
        <v>174100</v>
      </c>
      <c r="O5" s="1">
        <v>224200</v>
      </c>
    </row>
    <row r="6" spans="1:18" s="1" customFormat="1" x14ac:dyDescent="0.2">
      <c r="B6" s="1" t="s">
        <v>46</v>
      </c>
      <c r="C6" s="3"/>
      <c r="D6" s="3"/>
      <c r="E6" s="3"/>
      <c r="F6" s="3"/>
      <c r="G6" s="3">
        <v>10600</v>
      </c>
      <c r="H6" s="3">
        <f>20800-G6</f>
        <v>10200</v>
      </c>
      <c r="I6" s="3">
        <v>12300</v>
      </c>
      <c r="J6" s="3"/>
      <c r="K6" s="1">
        <v>15200</v>
      </c>
      <c r="O6" s="1">
        <v>38400</v>
      </c>
    </row>
    <row r="7" spans="1:18" s="1" customFormat="1" x14ac:dyDescent="0.2">
      <c r="B7" s="1" t="s">
        <v>77</v>
      </c>
      <c r="C7" s="3"/>
      <c r="D7" s="3"/>
      <c r="E7" s="3"/>
      <c r="F7" s="3"/>
      <c r="G7" s="3"/>
      <c r="H7" s="3"/>
      <c r="I7" s="3"/>
      <c r="J7" s="3"/>
      <c r="K7" s="1">
        <v>0</v>
      </c>
      <c r="O7" s="1">
        <v>12700</v>
      </c>
    </row>
    <row r="8" spans="1:18" s="1" customFormat="1" x14ac:dyDescent="0.2">
      <c r="B8" s="1" t="s">
        <v>78</v>
      </c>
      <c r="C8" s="3"/>
      <c r="D8" s="3"/>
      <c r="E8" s="3"/>
      <c r="F8" s="3"/>
      <c r="G8" s="3"/>
      <c r="H8" s="3"/>
      <c r="I8" s="3"/>
      <c r="J8" s="3"/>
      <c r="K8" s="1">
        <v>600</v>
      </c>
      <c r="O8" s="1">
        <v>6600</v>
      </c>
    </row>
    <row r="9" spans="1:18" s="1" customFormat="1" x14ac:dyDescent="0.2">
      <c r="B9" s="1" t="s">
        <v>79</v>
      </c>
      <c r="C9" s="3"/>
      <c r="D9" s="3"/>
      <c r="E9" s="3"/>
      <c r="F9" s="3"/>
      <c r="G9" s="3"/>
      <c r="H9" s="3"/>
      <c r="I9" s="3"/>
      <c r="J9" s="3"/>
      <c r="K9" s="1">
        <v>0</v>
      </c>
      <c r="O9" s="1">
        <v>300</v>
      </c>
    </row>
    <row r="10" spans="1:18" s="1" customFormat="1" x14ac:dyDescent="0.2">
      <c r="B10" s="1" t="s">
        <v>47</v>
      </c>
      <c r="C10" s="3"/>
      <c r="D10" s="3"/>
      <c r="E10" s="3"/>
      <c r="F10" s="3"/>
      <c r="G10" s="3">
        <v>10500</v>
      </c>
      <c r="H10" s="3">
        <f>23500-G10</f>
        <v>13000</v>
      </c>
      <c r="I10" s="3">
        <v>12800</v>
      </c>
      <c r="J10" s="3"/>
      <c r="K10" s="1">
        <v>13000</v>
      </c>
      <c r="O10" s="1">
        <v>17300</v>
      </c>
    </row>
    <row r="11" spans="1:18" s="1" customFormat="1" x14ac:dyDescent="0.2">
      <c r="B11" s="1" t="s">
        <v>48</v>
      </c>
      <c r="C11" s="3"/>
      <c r="D11" s="3"/>
      <c r="E11" s="3"/>
      <c r="F11" s="3"/>
      <c r="G11" s="3">
        <v>700</v>
      </c>
      <c r="H11" s="3">
        <f>1500-G11</f>
        <v>800</v>
      </c>
      <c r="I11" s="3">
        <v>900</v>
      </c>
      <c r="J11" s="3"/>
    </row>
    <row r="12" spans="1:18" s="1" customFormat="1" x14ac:dyDescent="0.2">
      <c r="B12" s="1" t="s">
        <v>49</v>
      </c>
      <c r="C12" s="3"/>
      <c r="D12" s="3"/>
      <c r="E12" s="3"/>
      <c r="F12" s="3"/>
      <c r="G12" s="3">
        <v>47900</v>
      </c>
      <c r="H12" s="3">
        <f>100400-G12</f>
        <v>52500</v>
      </c>
      <c r="I12" s="3">
        <v>51300</v>
      </c>
      <c r="J12" s="3"/>
      <c r="K12" s="1">
        <v>49100</v>
      </c>
      <c r="O12" s="1">
        <v>53900</v>
      </c>
    </row>
    <row r="13" spans="1:18" s="1" customFormat="1" x14ac:dyDescent="0.2">
      <c r="B13" s="1" t="s">
        <v>50</v>
      </c>
      <c r="C13" s="3"/>
      <c r="D13" s="3"/>
      <c r="E13" s="3"/>
      <c r="F13" s="3"/>
      <c r="G13" s="3">
        <v>51800</v>
      </c>
      <c r="H13" s="3">
        <f>93400-G13</f>
        <v>41600</v>
      </c>
      <c r="I13" s="3">
        <v>47700</v>
      </c>
      <c r="J13" s="3"/>
      <c r="K13" s="1">
        <v>49200</v>
      </c>
      <c r="O13" s="1">
        <v>46100</v>
      </c>
    </row>
    <row r="14" spans="1:18" x14ac:dyDescent="0.2">
      <c r="G14" s="2"/>
      <c r="H14" s="2"/>
      <c r="I14" s="2"/>
      <c r="J14" s="2"/>
    </row>
    <row r="15" spans="1:18" s="20" customFormat="1" x14ac:dyDescent="0.2">
      <c r="B15" s="20" t="s">
        <v>7</v>
      </c>
      <c r="C15" s="20">
        <v>326143</v>
      </c>
      <c r="D15" s="20">
        <f>651666-C15</f>
        <v>325523</v>
      </c>
      <c r="E15" s="21">
        <f>992293-D15-C15</f>
        <v>340627</v>
      </c>
      <c r="F15" s="21"/>
      <c r="G15" s="20">
        <v>381791</v>
      </c>
      <c r="H15" s="20">
        <f>762185-G15</f>
        <v>380394</v>
      </c>
      <c r="I15" s="20">
        <f>1164365-H15-G15</f>
        <v>402180</v>
      </c>
      <c r="K15" s="20">
        <v>374990</v>
      </c>
      <c r="O15" s="20">
        <v>473124</v>
      </c>
    </row>
    <row r="16" spans="1:18" s="1" customFormat="1" x14ac:dyDescent="0.2">
      <c r="B16" s="1" t="s">
        <v>16</v>
      </c>
      <c r="C16" s="1">
        <v>62231</v>
      </c>
      <c r="D16" s="1">
        <f>124736-C16</f>
        <v>62505</v>
      </c>
      <c r="E16" s="3">
        <f>194094-D16-C16</f>
        <v>69358</v>
      </c>
      <c r="F16" s="3"/>
      <c r="G16" s="1">
        <v>88870</v>
      </c>
      <c r="H16" s="1">
        <f>151651-G16</f>
        <v>62781</v>
      </c>
      <c r="I16" s="1">
        <f>226073-H16-G16</f>
        <v>74422</v>
      </c>
      <c r="K16" s="1">
        <v>68947</v>
      </c>
      <c r="O16" s="1">
        <v>91136</v>
      </c>
    </row>
    <row r="17" spans="2:15" s="1" customFormat="1" x14ac:dyDescent="0.2">
      <c r="B17" s="1" t="s">
        <v>17</v>
      </c>
      <c r="C17" s="1">
        <f>+C15-C16</f>
        <v>263912</v>
      </c>
      <c r="D17" s="1">
        <f>+D15-D16</f>
        <v>263018</v>
      </c>
      <c r="E17" s="1">
        <f>+E15-E16</f>
        <v>271269</v>
      </c>
      <c r="F17" s="3"/>
      <c r="G17" s="1">
        <f>+G15-G16</f>
        <v>292921</v>
      </c>
      <c r="H17" s="1">
        <f>+H15-H16</f>
        <v>317613</v>
      </c>
      <c r="I17" s="1">
        <f>+I15-I16</f>
        <v>327758</v>
      </c>
      <c r="K17" s="1">
        <f>+K15-K16</f>
        <v>306043</v>
      </c>
      <c r="O17" s="1">
        <f>+O15-O16</f>
        <v>381988</v>
      </c>
    </row>
    <row r="18" spans="2:15" s="1" customFormat="1" x14ac:dyDescent="0.2">
      <c r="B18" s="1" t="s">
        <v>18</v>
      </c>
      <c r="C18" s="1">
        <v>137109</v>
      </c>
      <c r="D18" s="1">
        <f>270506-C18</f>
        <v>133397</v>
      </c>
      <c r="E18" s="3">
        <f>406420-D18-C18</f>
        <v>135914</v>
      </c>
      <c r="F18" s="3"/>
      <c r="G18" s="1">
        <v>153396</v>
      </c>
      <c r="H18" s="1">
        <f>307956-G18</f>
        <v>154560</v>
      </c>
      <c r="I18" s="1">
        <f>470977-H18-G18</f>
        <v>163021</v>
      </c>
      <c r="K18" s="1">
        <v>168182</v>
      </c>
      <c r="O18" s="1">
        <v>206877</v>
      </c>
    </row>
    <row r="19" spans="2:15" s="1" customFormat="1" x14ac:dyDescent="0.2">
      <c r="B19" s="1" t="s">
        <v>19</v>
      </c>
      <c r="C19" s="1">
        <v>58313</v>
      </c>
      <c r="D19" s="1">
        <f>119060-C19</f>
        <v>60747</v>
      </c>
      <c r="E19" s="3">
        <f>177648-D19-C19</f>
        <v>58588</v>
      </c>
      <c r="F19" s="3"/>
      <c r="G19" s="1">
        <v>74007</v>
      </c>
      <c r="H19" s="1">
        <f>139177-G19</f>
        <v>65170</v>
      </c>
      <c r="I19" s="1">
        <f>206052-H19-G19</f>
        <v>66875</v>
      </c>
      <c r="K19" s="1">
        <v>64592</v>
      </c>
      <c r="O19" s="1">
        <v>86821</v>
      </c>
    </row>
    <row r="20" spans="2:15" s="1" customFormat="1" x14ac:dyDescent="0.2">
      <c r="B20" s="1" t="s">
        <v>20</v>
      </c>
      <c r="C20" s="1">
        <f>+C18+C19</f>
        <v>195422</v>
      </c>
      <c r="D20" s="1">
        <f>+D18+D19</f>
        <v>194144</v>
      </c>
      <c r="E20" s="1">
        <f>+E18+E19</f>
        <v>194502</v>
      </c>
      <c r="F20" s="3"/>
      <c r="G20" s="1">
        <f t="shared" ref="G20" si="0">+G18+G19</f>
        <v>227403</v>
      </c>
      <c r="H20" s="1">
        <f>+H18+H19</f>
        <v>219730</v>
      </c>
      <c r="I20" s="1">
        <f>+I18+I19</f>
        <v>229896</v>
      </c>
      <c r="K20" s="1">
        <f>+K18+K19</f>
        <v>232774</v>
      </c>
      <c r="O20" s="1">
        <f t="shared" ref="O20" si="1">+O18+O19</f>
        <v>293698</v>
      </c>
    </row>
    <row r="21" spans="2:15" s="1" customFormat="1" x14ac:dyDescent="0.2">
      <c r="B21" s="1" t="s">
        <v>21</v>
      </c>
      <c r="C21" s="1">
        <f>+C17-C20</f>
        <v>68490</v>
      </c>
      <c r="D21" s="1">
        <f>+D17-D20</f>
        <v>68874</v>
      </c>
      <c r="E21" s="1">
        <f>+E17-E20</f>
        <v>76767</v>
      </c>
      <c r="F21" s="3"/>
      <c r="G21" s="1">
        <f t="shared" ref="G21" si="2">+G17-G20</f>
        <v>65518</v>
      </c>
      <c r="H21" s="1">
        <f>+H17-H20</f>
        <v>97883</v>
      </c>
      <c r="I21" s="1">
        <f>+I17-I20</f>
        <v>97862</v>
      </c>
      <c r="K21" s="1">
        <f>+K17-K20</f>
        <v>73269</v>
      </c>
      <c r="O21" s="1">
        <f t="shared" ref="O21" si="3">+O17-O20</f>
        <v>88290</v>
      </c>
    </row>
    <row r="22" spans="2:15" s="1" customFormat="1" x14ac:dyDescent="0.2">
      <c r="B22" s="1" t="s">
        <v>22</v>
      </c>
      <c r="C22" s="3">
        <f>403-27133+1457-1717+292</f>
        <v>-26698</v>
      </c>
      <c r="D22" s="3">
        <f>2847-37972+1888-2972+308-C22</f>
        <v>-9203</v>
      </c>
      <c r="E22" s="3"/>
      <c r="F22" s="3"/>
      <c r="G22" s="1">
        <f>350+16291-38436+927-2396</f>
        <v>-23264</v>
      </c>
      <c r="H22" s="3">
        <f>16250-41743+4493-3904+1779-G22</f>
        <v>139</v>
      </c>
      <c r="K22" s="1">
        <f>4333-4495</f>
        <v>-162</v>
      </c>
      <c r="O22" s="1">
        <f>3776-2720</f>
        <v>1056</v>
      </c>
    </row>
    <row r="23" spans="2:15" s="1" customFormat="1" x14ac:dyDescent="0.2">
      <c r="B23" s="1" t="s">
        <v>23</v>
      </c>
      <c r="C23" s="3">
        <f>+C21+C22</f>
        <v>41792</v>
      </c>
      <c r="D23" s="3">
        <f>+D21+D22</f>
        <v>59671</v>
      </c>
      <c r="E23" s="3">
        <f>+E21+E22</f>
        <v>76767</v>
      </c>
      <c r="F23" s="3"/>
      <c r="G23" s="3">
        <f>+G21+G22</f>
        <v>42254</v>
      </c>
      <c r="H23" s="3">
        <f>+H21+H22</f>
        <v>98022</v>
      </c>
      <c r="I23" s="3">
        <f>+I21+I22</f>
        <v>97862</v>
      </c>
      <c r="K23" s="1">
        <f>+K21+K22</f>
        <v>73107</v>
      </c>
      <c r="O23" s="1">
        <f t="shared" ref="O23" si="4">+O21+O22</f>
        <v>89346</v>
      </c>
    </row>
    <row r="24" spans="2:15" s="1" customFormat="1" x14ac:dyDescent="0.2">
      <c r="B24" s="1" t="s">
        <v>24</v>
      </c>
      <c r="C24" s="3">
        <v>5144</v>
      </c>
      <c r="D24" s="3">
        <f>17476-C24</f>
        <v>12332</v>
      </c>
      <c r="E24" s="3">
        <f>34908-D24-C24</f>
        <v>17432</v>
      </c>
      <c r="F24" s="3"/>
      <c r="G24" s="1">
        <v>6867</v>
      </c>
      <c r="H24" s="3">
        <f>24046-G24</f>
        <v>17179</v>
      </c>
      <c r="I24" s="1">
        <f>35399-H24-G24</f>
        <v>11353</v>
      </c>
      <c r="K24" s="1">
        <v>12892</v>
      </c>
      <c r="O24" s="1">
        <v>13721</v>
      </c>
    </row>
    <row r="25" spans="2:15" s="1" customFormat="1" x14ac:dyDescent="0.2">
      <c r="B25" s="1" t="s">
        <v>25</v>
      </c>
      <c r="C25" s="3">
        <f>+C23-C24</f>
        <v>36648</v>
      </c>
      <c r="D25" s="3">
        <f>+D23-D24</f>
        <v>47339</v>
      </c>
      <c r="E25" s="3">
        <f>+E23-E24</f>
        <v>59335</v>
      </c>
      <c r="F25" s="3"/>
      <c r="G25" s="3">
        <f>+G23-G24</f>
        <v>35387</v>
      </c>
      <c r="H25" s="3">
        <f>+H23-H24</f>
        <v>80843</v>
      </c>
      <c r="I25" s="3">
        <f>+I23-I24</f>
        <v>86509</v>
      </c>
      <c r="K25" s="1">
        <f>+K23-K24</f>
        <v>60215</v>
      </c>
      <c r="O25" s="1">
        <f>+O23-O24</f>
        <v>75625</v>
      </c>
    </row>
    <row r="27" spans="2:15" x14ac:dyDescent="0.2">
      <c r="B27" s="1" t="s">
        <v>43</v>
      </c>
      <c r="G27" s="4">
        <f>+G15/C15-1</f>
        <v>0.17062454199538246</v>
      </c>
      <c r="H27" s="4">
        <f>+H15/D15-1</f>
        <v>0.1685625900474006</v>
      </c>
      <c r="I27" s="4">
        <f>+I15/E15-1</f>
        <v>0.18070499402572304</v>
      </c>
      <c r="O27" s="4">
        <f>+O15/K15-1</f>
        <v>0.26169764527054062</v>
      </c>
    </row>
    <row r="28" spans="2:15" x14ac:dyDescent="0.2">
      <c r="B28" s="1" t="s">
        <v>44</v>
      </c>
      <c r="C28" s="4">
        <f>+C17/C15</f>
        <v>0.8091910603630923</v>
      </c>
      <c r="D28" s="4">
        <f>+D17/D15</f>
        <v>0.8079859180457295</v>
      </c>
      <c r="E28" s="4">
        <f>+E17/E15</f>
        <v>0.79638137904511386</v>
      </c>
      <c r="G28" s="4">
        <f>+G17/G15</f>
        <v>0.76722866699319781</v>
      </c>
      <c r="H28" s="4">
        <f>+H17/H15</f>
        <v>0.83495796463666616</v>
      </c>
      <c r="I28" s="4">
        <f>+I17/I15</f>
        <v>0.81495350340643491</v>
      </c>
      <c r="K28" s="4">
        <f>+K17/K15</f>
        <v>0.81613643030480809</v>
      </c>
      <c r="O28" s="4">
        <f>+O17/O15</f>
        <v>0.80737396538750938</v>
      </c>
    </row>
    <row r="30" spans="2:15" s="1" customFormat="1" x14ac:dyDescent="0.2">
      <c r="B30" s="1" t="s">
        <v>26</v>
      </c>
      <c r="C30" s="3"/>
      <c r="D30" s="3"/>
      <c r="E30" s="3"/>
      <c r="F30" s="3"/>
      <c r="H30" s="1">
        <f>361073+31947+87952+14316</f>
        <v>495288</v>
      </c>
      <c r="I30" s="1">
        <f>381816+31480</f>
        <v>413296</v>
      </c>
      <c r="O30" s="1">
        <f>302928+35717+113422+19476</f>
        <v>471543</v>
      </c>
    </row>
    <row r="31" spans="2:15" s="1" customFormat="1" x14ac:dyDescent="0.2">
      <c r="B31" s="1" t="s">
        <v>27</v>
      </c>
      <c r="C31" s="3"/>
      <c r="D31" s="3"/>
      <c r="E31" s="3"/>
      <c r="F31" s="3"/>
      <c r="H31" s="1">
        <v>33981</v>
      </c>
      <c r="I31" s="1">
        <v>31864</v>
      </c>
      <c r="O31" s="1">
        <f>45972</f>
        <v>45972</v>
      </c>
    </row>
    <row r="32" spans="2:15" s="1" customFormat="1" x14ac:dyDescent="0.2">
      <c r="B32" s="1" t="s">
        <v>30</v>
      </c>
      <c r="C32" s="3"/>
      <c r="D32" s="3"/>
      <c r="E32" s="3"/>
      <c r="F32" s="3"/>
      <c r="H32" s="1">
        <f>11022+96461</f>
        <v>107483</v>
      </c>
      <c r="I32" s="1">
        <v>93225</v>
      </c>
      <c r="O32" s="1">
        <f>12336+54179</f>
        <v>66515</v>
      </c>
    </row>
    <row r="33" spans="2:15" s="1" customFormat="1" x14ac:dyDescent="0.2">
      <c r="B33" s="1" t="s">
        <v>29</v>
      </c>
      <c r="C33" s="3"/>
      <c r="D33" s="3"/>
      <c r="E33" s="3"/>
      <c r="F33" s="3"/>
      <c r="H33" s="1">
        <f>452485+26688</f>
        <v>479173</v>
      </c>
      <c r="I33" s="1">
        <v>451275</v>
      </c>
      <c r="O33" s="1">
        <f>587667+22041</f>
        <v>609708</v>
      </c>
    </row>
    <row r="34" spans="2:15" s="1" customFormat="1" x14ac:dyDescent="0.2">
      <c r="B34" s="1" t="s">
        <v>28</v>
      </c>
      <c r="C34" s="3"/>
      <c r="D34" s="3"/>
      <c r="E34" s="3"/>
      <c r="F34" s="3"/>
      <c r="H34" s="1">
        <v>168636</v>
      </c>
      <c r="I34" s="1">
        <v>163221</v>
      </c>
      <c r="O34" s="1">
        <v>256045</v>
      </c>
    </row>
    <row r="35" spans="2:15" s="1" customFormat="1" x14ac:dyDescent="0.2">
      <c r="B35" s="1" t="s">
        <v>31</v>
      </c>
      <c r="C35" s="3"/>
      <c r="D35" s="3"/>
      <c r="E35" s="3"/>
      <c r="F35" s="3"/>
      <c r="H35" s="1">
        <v>11823</v>
      </c>
      <c r="I35" s="1">
        <v>10910</v>
      </c>
      <c r="O35" s="1">
        <v>29214</v>
      </c>
    </row>
    <row r="36" spans="2:15" s="1" customFormat="1" x14ac:dyDescent="0.2">
      <c r="B36" s="1" t="s">
        <v>33</v>
      </c>
      <c r="C36" s="3"/>
      <c r="D36" s="3"/>
      <c r="E36" s="3"/>
      <c r="F36" s="3"/>
      <c r="H36" s="1">
        <f>653629+353095</f>
        <v>1006724</v>
      </c>
      <c r="I36" s="1">
        <f>324068+616538</f>
        <v>940606</v>
      </c>
      <c r="O36" s="1">
        <f>443674+1503157</f>
        <v>1946831</v>
      </c>
    </row>
    <row r="37" spans="2:15" s="1" customFormat="1" x14ac:dyDescent="0.2">
      <c r="B37" s="1" t="s">
        <v>34</v>
      </c>
      <c r="C37" s="3"/>
      <c r="D37" s="3"/>
      <c r="E37" s="3"/>
      <c r="F37" s="3"/>
      <c r="H37" s="1">
        <v>280552</v>
      </c>
      <c r="I37" s="1">
        <v>269106</v>
      </c>
      <c r="O37" s="1">
        <v>309686</v>
      </c>
    </row>
    <row r="38" spans="2:15" x14ac:dyDescent="0.2">
      <c r="B38" s="1" t="s">
        <v>32</v>
      </c>
      <c r="H38" s="1">
        <f>SUM(H30:H37)</f>
        <v>2583660</v>
      </c>
      <c r="I38" s="1">
        <f>SUM(I30:I37)</f>
        <v>2373503</v>
      </c>
      <c r="O38" s="1">
        <f>SUM(O30:O37)</f>
        <v>3735514</v>
      </c>
    </row>
    <row r="40" spans="2:15" x14ac:dyDescent="0.2">
      <c r="B40" s="1" t="s">
        <v>36</v>
      </c>
      <c r="H40" s="1">
        <v>1649518</v>
      </c>
      <c r="I40" s="1">
        <v>1570424</v>
      </c>
      <c r="O40" s="1">
        <v>1676442</v>
      </c>
    </row>
    <row r="41" spans="2:15" x14ac:dyDescent="0.2">
      <c r="B41" s="1" t="s">
        <v>35</v>
      </c>
      <c r="H41" s="1">
        <v>369011</v>
      </c>
      <c r="I41" s="1">
        <v>360196</v>
      </c>
      <c r="O41" s="1">
        <v>503002</v>
      </c>
    </row>
    <row r="42" spans="2:15" x14ac:dyDescent="0.2">
      <c r="B42" s="1" t="s">
        <v>37</v>
      </c>
      <c r="H42" s="1">
        <f>205611+82391</f>
        <v>288002</v>
      </c>
      <c r="I42" s="1">
        <f>148738+180413</f>
        <v>329151</v>
      </c>
      <c r="O42" s="1">
        <f>549596+105756+443061+104239</f>
        <v>1202652</v>
      </c>
    </row>
    <row r="43" spans="2:15" x14ac:dyDescent="0.2">
      <c r="B43" s="1" t="s">
        <v>38</v>
      </c>
      <c r="H43" s="1">
        <f>14012+3653</f>
        <v>17665</v>
      </c>
      <c r="I43" s="1"/>
      <c r="O43" s="1">
        <f>14140+9986</f>
        <v>24126</v>
      </c>
    </row>
    <row r="44" spans="2:15" x14ac:dyDescent="0.2">
      <c r="B44" s="1" t="s">
        <v>24</v>
      </c>
      <c r="H44" s="1">
        <f>26246+6104</f>
        <v>32350</v>
      </c>
      <c r="I44" s="1"/>
      <c r="O44" s="1">
        <f>29687+222+45068</f>
        <v>74977</v>
      </c>
    </row>
    <row r="45" spans="2:15" x14ac:dyDescent="0.2">
      <c r="B45" s="1" t="s">
        <v>39</v>
      </c>
      <c r="H45" s="1">
        <v>146533</v>
      </c>
      <c r="I45" s="1"/>
      <c r="O45" s="1">
        <f>173146+8466</f>
        <v>181612</v>
      </c>
    </row>
    <row r="46" spans="2:15" x14ac:dyDescent="0.2">
      <c r="B46" s="1" t="s">
        <v>40</v>
      </c>
      <c r="H46" s="1">
        <f>38641+5023</f>
        <v>43664</v>
      </c>
      <c r="I46" s="1">
        <v>37337</v>
      </c>
      <c r="O46" s="1">
        <v>47327</v>
      </c>
    </row>
    <row r="47" spans="2:15" x14ac:dyDescent="0.2">
      <c r="B47" s="1" t="s">
        <v>42</v>
      </c>
      <c r="H47" s="1">
        <v>36918</v>
      </c>
      <c r="I47" s="1">
        <v>37092</v>
      </c>
      <c r="O47" s="1">
        <v>25377</v>
      </c>
    </row>
    <row r="48" spans="2:15" x14ac:dyDescent="0.2">
      <c r="B48" s="1" t="s">
        <v>41</v>
      </c>
      <c r="H48" s="1">
        <f>SUM(H40:H47)</f>
        <v>2583661</v>
      </c>
      <c r="I48" s="1">
        <f>SUM(I40:I47)</f>
        <v>2334200</v>
      </c>
      <c r="O48" s="1">
        <f>SUM(O40:O47)</f>
        <v>3735515</v>
      </c>
    </row>
  </sheetData>
  <hyperlinks>
    <hyperlink ref="A1" location="Main!A1" display="Main" xr:uid="{77393FF7-B448-4983-8B80-5E08ED6F4DCD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2022-11-05T12:41:04Z</dcterms:created>
  <dcterms:modified xsi:type="dcterms:W3CDTF">2025-10-07T09:44:13Z</dcterms:modified>
</cp:coreProperties>
</file>