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13_ncr:1_{1BCBCB02-6008-46B6-B9E0-E54238880A26}" xr6:coauthVersionLast="47" xr6:coauthVersionMax="47" xr10:uidLastSave="{00000000-0000-0000-0000-000000000000}"/>
  <bookViews>
    <workbookView xWindow="4905" yWindow="4950" windowWidth="18075" windowHeight="16020" xr2:uid="{B098528D-8630-4F0E-8E5F-771F0845EC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5" i="2" l="1"/>
  <c r="AK33" i="2"/>
  <c r="AG27" i="2"/>
  <c r="AF28" i="2"/>
  <c r="AE28" i="2"/>
  <c r="AD28" i="2"/>
  <c r="AC28" i="2"/>
  <c r="AB28" i="2"/>
  <c r="AA28" i="2"/>
  <c r="Z28" i="2"/>
  <c r="AF33" i="2"/>
  <c r="AE33" i="2"/>
  <c r="AD33" i="2"/>
  <c r="AC33" i="2"/>
  <c r="AB33" i="2"/>
  <c r="AA33" i="2"/>
  <c r="Z33" i="2"/>
  <c r="AF32" i="2"/>
  <c r="AE32" i="2"/>
  <c r="AD32" i="2"/>
  <c r="AC32" i="2"/>
  <c r="AB32" i="2"/>
  <c r="AA32" i="2"/>
  <c r="Z32" i="2"/>
  <c r="AF31" i="2"/>
  <c r="AE31" i="2"/>
  <c r="AD31" i="2"/>
  <c r="AC31" i="2"/>
  <c r="AB31" i="2"/>
  <c r="AA31" i="2"/>
  <c r="AB29" i="2"/>
  <c r="AC29" i="2" s="1"/>
  <c r="AD29" i="2" s="1"/>
  <c r="AE29" i="2" s="1"/>
  <c r="AF29" i="2" s="1"/>
  <c r="AA29" i="2"/>
  <c r="Z29" i="2"/>
  <c r="AF26" i="2"/>
  <c r="AE26" i="2"/>
  <c r="AD26" i="2"/>
  <c r="AC26" i="2"/>
  <c r="AB26" i="2"/>
  <c r="AA26" i="2"/>
  <c r="Z26" i="2"/>
  <c r="AF27" i="2"/>
  <c r="AE27" i="2"/>
  <c r="AD27" i="2"/>
  <c r="AC27" i="2"/>
  <c r="AB27" i="2"/>
  <c r="AA27" i="2"/>
  <c r="Z27" i="2"/>
  <c r="AF25" i="2"/>
  <c r="AE25" i="2"/>
  <c r="AD25" i="2"/>
  <c r="AC25" i="2"/>
  <c r="AB25" i="2"/>
  <c r="AA25" i="2"/>
  <c r="Z25" i="2"/>
  <c r="AA21" i="2"/>
  <c r="AB21" i="2" s="1"/>
  <c r="AA20" i="2"/>
  <c r="AB20" i="2" s="1"/>
  <c r="AC20" i="2" s="1"/>
  <c r="AD20" i="2" s="1"/>
  <c r="AE20" i="2" s="1"/>
  <c r="AF20" i="2" s="1"/>
  <c r="AA19" i="2"/>
  <c r="AB19" i="2" s="1"/>
  <c r="AC19" i="2" s="1"/>
  <c r="AD19" i="2" s="1"/>
  <c r="AE19" i="2" s="1"/>
  <c r="AF19" i="2" s="1"/>
  <c r="Z21" i="2"/>
  <c r="Z22" i="2" s="1"/>
  <c r="Z23" i="2" s="1"/>
  <c r="Z19" i="2"/>
  <c r="Z20" i="2"/>
  <c r="AF18" i="2"/>
  <c r="AE18" i="2"/>
  <c r="AD18" i="2"/>
  <c r="AC18" i="2"/>
  <c r="AB18" i="2"/>
  <c r="AA18" i="2"/>
  <c r="Z18" i="2"/>
  <c r="AF16" i="2"/>
  <c r="AE16" i="2"/>
  <c r="AD16" i="2"/>
  <c r="AC16" i="2"/>
  <c r="AB16" i="2"/>
  <c r="AA16" i="2"/>
  <c r="Z16" i="2"/>
  <c r="AA12" i="2"/>
  <c r="AB12" i="2" s="1"/>
  <c r="AC12" i="2" s="1"/>
  <c r="AD12" i="2" s="1"/>
  <c r="AE12" i="2" s="1"/>
  <c r="AF12" i="2" s="1"/>
  <c r="Z12" i="2"/>
  <c r="Z11" i="2"/>
  <c r="AA11" i="2" s="1"/>
  <c r="AB11" i="2" s="1"/>
  <c r="AC11" i="2" s="1"/>
  <c r="AD11" i="2" s="1"/>
  <c r="AE11" i="2" s="1"/>
  <c r="AF11" i="2" s="1"/>
  <c r="AF7" i="2"/>
  <c r="AE7" i="2"/>
  <c r="AA7" i="2"/>
  <c r="AB7" i="2" s="1"/>
  <c r="AC7" i="2" s="1"/>
  <c r="AD7" i="2" s="1"/>
  <c r="Z7" i="2"/>
  <c r="N35" i="2"/>
  <c r="M35" i="2"/>
  <c r="Q35" i="2"/>
  <c r="Z4" i="2"/>
  <c r="V24" i="2"/>
  <c r="V22" i="2"/>
  <c r="V17" i="2"/>
  <c r="V18" i="2" s="1"/>
  <c r="X32" i="2"/>
  <c r="W32" i="2"/>
  <c r="V32" i="2"/>
  <c r="U32" i="2"/>
  <c r="W31" i="2"/>
  <c r="N31" i="2"/>
  <c r="M31" i="2"/>
  <c r="L31" i="2"/>
  <c r="K31" i="2"/>
  <c r="J31" i="2"/>
  <c r="I31" i="2"/>
  <c r="H31" i="2"/>
  <c r="G31" i="2"/>
  <c r="V12" i="2"/>
  <c r="V13" i="2"/>
  <c r="W13" i="2"/>
  <c r="W12" i="2"/>
  <c r="Y11" i="2"/>
  <c r="Y13" i="2" s="1"/>
  <c r="Y14" i="2"/>
  <c r="X14" i="2"/>
  <c r="X11" i="2"/>
  <c r="X12" i="2" s="1"/>
  <c r="W17" i="2"/>
  <c r="W18" i="2" s="1"/>
  <c r="W33" i="2" s="1"/>
  <c r="X17" i="2"/>
  <c r="X18" i="2" s="1"/>
  <c r="X33" i="2" s="1"/>
  <c r="X22" i="2"/>
  <c r="W22" i="2"/>
  <c r="Y22" i="2"/>
  <c r="Y17" i="2"/>
  <c r="X31" i="2"/>
  <c r="N16" i="2"/>
  <c r="Y16" i="2" s="1"/>
  <c r="Y12" i="2" s="1"/>
  <c r="AA2" i="2"/>
  <c r="AB2" i="2" s="1"/>
  <c r="AC2" i="2" s="1"/>
  <c r="AD2" i="2" s="1"/>
  <c r="AE2" i="2" s="1"/>
  <c r="AF2" i="2" s="1"/>
  <c r="K17" i="2"/>
  <c r="K18" i="2" s="1"/>
  <c r="K22" i="2"/>
  <c r="O24" i="2"/>
  <c r="O17" i="2"/>
  <c r="O18" i="2" s="1"/>
  <c r="O31" i="2"/>
  <c r="O22" i="2"/>
  <c r="L24" i="2"/>
  <c r="L17" i="2"/>
  <c r="L18" i="2" s="1"/>
  <c r="P24" i="2"/>
  <c r="L22" i="2"/>
  <c r="P17" i="2"/>
  <c r="P18" i="2" s="1"/>
  <c r="P33" i="2" s="1"/>
  <c r="P31" i="2"/>
  <c r="P22" i="2"/>
  <c r="Q31" i="2"/>
  <c r="M24" i="2"/>
  <c r="Q24" i="2"/>
  <c r="M22" i="2"/>
  <c r="M17" i="2"/>
  <c r="M18" i="2" s="1"/>
  <c r="M33" i="2" s="1"/>
  <c r="Q22" i="2"/>
  <c r="Q17" i="2"/>
  <c r="Q18" i="2" s="1"/>
  <c r="L7" i="1"/>
  <c r="L5" i="1"/>
  <c r="L4" i="1"/>
  <c r="L3" i="1"/>
  <c r="AH27" i="2" l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AC21" i="2"/>
  <c r="AB22" i="2"/>
  <c r="AB23" i="2" s="1"/>
  <c r="AA22" i="2"/>
  <c r="AA23" i="2" s="1"/>
  <c r="Y32" i="2"/>
  <c r="V23" i="2"/>
  <c r="V25" i="2" s="1"/>
  <c r="V27" i="2" s="1"/>
  <c r="V28" i="2" s="1"/>
  <c r="X13" i="2"/>
  <c r="O23" i="2"/>
  <c r="O25" i="2" s="1"/>
  <c r="O27" i="2" s="1"/>
  <c r="O28" i="2" s="1"/>
  <c r="Y18" i="2"/>
  <c r="Y31" i="2"/>
  <c r="R16" i="2"/>
  <c r="X23" i="2"/>
  <c r="X25" i="2" s="1"/>
  <c r="X27" i="2" s="1"/>
  <c r="X28" i="2" s="1"/>
  <c r="W23" i="2"/>
  <c r="W25" i="2" s="1"/>
  <c r="W27" i="2" s="1"/>
  <c r="W28" i="2" s="1"/>
  <c r="Q33" i="2"/>
  <c r="Q23" i="2"/>
  <c r="Q25" i="2" s="1"/>
  <c r="Q27" i="2" s="1"/>
  <c r="Q28" i="2" s="1"/>
  <c r="L23" i="2"/>
  <c r="M23" i="2"/>
  <c r="M25" i="2" s="1"/>
  <c r="M27" i="2" s="1"/>
  <c r="M28" i="2" s="1"/>
  <c r="K33" i="2"/>
  <c r="K23" i="2"/>
  <c r="K25" i="2" s="1"/>
  <c r="K27" i="2" s="1"/>
  <c r="K28" i="2" s="1"/>
  <c r="L33" i="2"/>
  <c r="O33" i="2"/>
  <c r="L25" i="2"/>
  <c r="L27" i="2" s="1"/>
  <c r="L28" i="2" s="1"/>
  <c r="P23" i="2"/>
  <c r="P25" i="2" s="1"/>
  <c r="P27" i="2" s="1"/>
  <c r="P28" i="2" s="1"/>
  <c r="AK34" i="2" l="1"/>
  <c r="AC22" i="2"/>
  <c r="AC23" i="2" s="1"/>
  <c r="AD21" i="2"/>
  <c r="Y23" i="2"/>
  <c r="Y25" i="2" s="1"/>
  <c r="Y27" i="2" s="1"/>
  <c r="Y28" i="2" s="1"/>
  <c r="Y33" i="2"/>
  <c r="R33" i="2"/>
  <c r="R31" i="2"/>
  <c r="Z31" i="2"/>
  <c r="AE21" i="2" l="1"/>
  <c r="AD22" i="2"/>
  <c r="AD23" i="2" s="1"/>
  <c r="AF21" i="2" l="1"/>
  <c r="AF22" i="2" s="1"/>
  <c r="AF23" i="2" s="1"/>
  <c r="AE22" i="2"/>
  <c r="AE23" i="2" s="1"/>
</calcChain>
</file>

<file path=xl/sharedStrings.xml><?xml version="1.0" encoding="utf-8"?>
<sst xmlns="http://schemas.openxmlformats.org/spreadsheetml/2006/main" count="60" uniqueCount="56">
  <si>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</si>
  <si>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</si>
  <si>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</si>
  <si>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</si>
  <si>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</si>
  <si>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</si>
  <si>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</si>
  <si>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</si>
  <si>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</si>
  <si>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</si>
  <si>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</si>
  <si>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</si>
  <si>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</si>
  <si>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</si>
  <si>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</si>
  <si>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</si>
  <si>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</si>
  <si>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</si>
  <si>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</si>
  <si>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</si>
  <si>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COGS</t>
  </si>
  <si>
    <t>Gross Profit</t>
  </si>
  <si>
    <t>PD</t>
  </si>
  <si>
    <t>S&amp;M</t>
  </si>
  <si>
    <t>G&amp;A</t>
  </si>
  <si>
    <t>OpEx</t>
  </si>
  <si>
    <t>OpInc</t>
  </si>
  <si>
    <t>Interest Income</t>
  </si>
  <si>
    <t>Pretax Income</t>
  </si>
  <si>
    <t>EPS</t>
  </si>
  <si>
    <t>Net Income</t>
  </si>
  <si>
    <t>Taxes</t>
  </si>
  <si>
    <t>Gross Margin</t>
  </si>
  <si>
    <t>Nights</t>
  </si>
  <si>
    <t>NA Nights</t>
  </si>
  <si>
    <t>WW Nights</t>
  </si>
  <si>
    <t>EMEA Nights</t>
  </si>
  <si>
    <t>LatAm Nights</t>
  </si>
  <si>
    <t>APAC Nights</t>
  </si>
  <si>
    <t>ARPU</t>
  </si>
  <si>
    <t>GBV</t>
  </si>
  <si>
    <t>GBV/Night</t>
  </si>
  <si>
    <t>NA GBV</t>
  </si>
  <si>
    <t>NA GBV/Night</t>
  </si>
  <si>
    <t>Q119</t>
  </si>
  <si>
    <t>Q219</t>
  </si>
  <si>
    <t>Q319</t>
  </si>
  <si>
    <t>Q419</t>
  </si>
  <si>
    <t>Revenue y/y</t>
  </si>
  <si>
    <t>CFFO</t>
  </si>
  <si>
    <t>NA Hotel Rooms</t>
  </si>
  <si>
    <t>Discount</t>
  </si>
  <si>
    <t>Terminal</t>
  </si>
  <si>
    <t>NPV</t>
  </si>
  <si>
    <t>Share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</si>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</sst>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29765</xdr:colOff>
      <xdr:row>0</xdr:row>
      <xdr:rowOff>23812</xdr:rowOff>
    </xdr:from>
    <xdr:to>
      <xdr:col>17</xdr:col>
      <xdr:colOff>29765</xdr:colOff>
      <xdr:row>45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533ADD3-3AD0-FF5A-BB6A-E35CF02A02E7}"/>
            </a:ext>
          </a:extLst>
        </xdr:cNvPr>
        <xdr:cNvCxnSpPr/>
      </xdr:nvCxnSpPr>
      <xdr:spPr>
        <a:xfrm>
          <a:off x="7965281" y="23812"/>
          <a:ext cx="0" cy="5214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0</xdr:row>
      <xdr:rowOff>0</xdr:rowOff>
    </xdr:from>
    <xdr:to>
      <xdr:col>25</xdr:col>
      <xdr:colOff>9525</xdr:colOff>
      <xdr:row>45</xdr:row>
      <xdr:rowOff>71438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2EB5A2A-6452-4597-B296-B5E293793773}"/>
            </a:ext>
          </a:extLst>
        </xdr:cNvPr>
        <xdr:cNvCxnSpPr/>
      </xdr:nvCxnSpPr>
      <xdr:spPr>
        <a:xfrm>
          <a:off x="12802791" y="0"/>
          <a:ext cx="0" cy="50542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DDD2-C90C-4D4F-9EB8-7C9BD97B2019}">
  <dimension ref="K2:M7"/>
  <sheetViews>
    <sheetView tabSelected="1" zoomScaleNormal="100" workbookViewId="0"/>
  </sheetViews>
  <sheetFormatPr defaultRowHeight="12.75" x14ac:dyDescent="0.2"/>
  <sheetData>
    <row r="2" spans="11:13" x14ac:dyDescent="0.2">
      <c r="K2" t="s">
        <v>0</v>
      </c>
      <c r="L2" s="1">
        <v>116.42</v>
      </c>
    </row>
    <row r="3" spans="11:13" x14ac:dyDescent="0.2">
      <c r="K3" t="s">
        <v>1</v>
      </c>
      <c r="L3" s="2">
        <f>398.246802+234.930381</f>
        <v>633.17718300000001</v>
      </c>
      <c r="M3" s="3" t="s">
        <v>6</v>
      </c>
    </row>
    <row r="4" spans="11:13" x14ac:dyDescent="0.2">
      <c r="K4" t="s">
        <v>2</v>
      </c>
      <c r="L4" s="2">
        <f>+L2*L3</f>
        <v>73714.487644859997</v>
      </c>
    </row>
    <row r="5" spans="11:13" x14ac:dyDescent="0.2">
      <c r="K5" t="s">
        <v>3</v>
      </c>
      <c r="L5" s="2">
        <f>7523.688+2103.898+1.52</f>
        <v>9629.1059999999998</v>
      </c>
      <c r="M5" s="3" t="s">
        <v>6</v>
      </c>
    </row>
    <row r="6" spans="11:13" x14ac:dyDescent="0.2">
      <c r="K6" t="s">
        <v>4</v>
      </c>
      <c r="L6" s="2">
        <v>1985.6590000000001</v>
      </c>
      <c r="M6" s="3" t="s">
        <v>6</v>
      </c>
    </row>
    <row r="7" spans="11:13" x14ac:dyDescent="0.2">
      <c r="K7" t="s">
        <v>5</v>
      </c>
      <c r="L7" s="2">
        <f>+L4-L5+L6</f>
        <v>66071.040644859997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0BCC-4335-4C2E-B4D6-8580B4214ACB}">
  <dimension ref="A1:CR35"/>
  <sheetViews>
    <sheetView zoomScaleNormal="100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D12" sqref="AD12"/>
    </sheetView>
  </sheetViews>
  <sheetFormatPr defaultRowHeight="12.75" x14ac:dyDescent="0.2"/>
  <cols>
    <col min="1" max="1" width="5" bestFit="1" customWidth="1"/>
    <col min="2" max="2" width="15.140625" customWidth="1"/>
    <col min="3" max="6" width="9.140625" style="3" customWidth="1"/>
    <col min="7" max="18" width="9.140625" style="3"/>
    <col min="35" max="35" width="11.140625" bestFit="1" customWidth="1"/>
  </cols>
  <sheetData>
    <row r="1" spans="1:32" x14ac:dyDescent="0.2">
      <c r="A1" s="5" t="s">
        <v>7</v>
      </c>
    </row>
    <row r="2" spans="1:32" x14ac:dyDescent="0.2">
      <c r="C2" s="3" t="s">
        <v>44</v>
      </c>
      <c r="D2" s="3" t="s">
        <v>45</v>
      </c>
      <c r="E2" s="3" t="s">
        <v>46</v>
      </c>
      <c r="F2" s="3" t="s">
        <v>47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6</v>
      </c>
      <c r="R2" s="3" t="s">
        <v>19</v>
      </c>
      <c r="T2">
        <v>2016</v>
      </c>
      <c r="U2">
        <v>2017</v>
      </c>
      <c r="V2">
        <v>2018</v>
      </c>
      <c r="W2">
        <v>2019</v>
      </c>
      <c r="X2">
        <v>2020</v>
      </c>
      <c r="Y2">
        <v>2021</v>
      </c>
      <c r="Z2">
        <v>2022</v>
      </c>
      <c r="AA2">
        <f t="shared" ref="AA2:AF2" si="0">+Z2+1</f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 t="shared" si="0"/>
        <v>2027</v>
      </c>
      <c r="AF2">
        <f t="shared" si="0"/>
        <v>2028</v>
      </c>
    </row>
    <row r="3" spans="1:32" x14ac:dyDescent="0.2">
      <c r="B3" t="s">
        <v>42</v>
      </c>
      <c r="X3" s="2">
        <v>13169.9</v>
      </c>
      <c r="Y3" s="2">
        <v>25305.5</v>
      </c>
    </row>
    <row r="4" spans="1:32" x14ac:dyDescent="0.2">
      <c r="B4" t="s">
        <v>40</v>
      </c>
      <c r="T4" s="2">
        <v>13924.8</v>
      </c>
      <c r="U4" s="2">
        <v>20975.3</v>
      </c>
      <c r="V4" s="2">
        <v>29440.7</v>
      </c>
      <c r="W4" s="2">
        <v>37962.6</v>
      </c>
      <c r="X4" s="2">
        <v>23896.9</v>
      </c>
      <c r="Y4" s="2">
        <v>46877</v>
      </c>
      <c r="Z4" s="2">
        <f>+Y4*1.37</f>
        <v>64221.490000000005</v>
      </c>
    </row>
    <row r="6" spans="1:32" x14ac:dyDescent="0.2">
      <c r="B6" t="s">
        <v>50</v>
      </c>
      <c r="Y6" s="14">
        <v>1300</v>
      </c>
      <c r="Z6" s="14">
        <v>1300</v>
      </c>
      <c r="AA6" s="14">
        <v>1300</v>
      </c>
      <c r="AB6" s="14">
        <v>1300</v>
      </c>
      <c r="AC6" s="14">
        <v>1300</v>
      </c>
      <c r="AD6" s="14">
        <v>1300</v>
      </c>
      <c r="AE6" s="14">
        <v>1300</v>
      </c>
      <c r="AF6" s="14">
        <v>1300</v>
      </c>
    </row>
    <row r="7" spans="1:32" x14ac:dyDescent="0.2">
      <c r="B7" t="s">
        <v>34</v>
      </c>
      <c r="X7">
        <v>75.5</v>
      </c>
      <c r="Y7" s="14">
        <v>114</v>
      </c>
      <c r="Z7" s="2">
        <f>+Y7*1.2</f>
        <v>136.79999999999998</v>
      </c>
      <c r="AA7" s="2">
        <f t="shared" ref="AA7:AD7" si="1">+Z7*1.2</f>
        <v>164.15999999999997</v>
      </c>
      <c r="AB7" s="2">
        <f t="shared" si="1"/>
        <v>196.99199999999996</v>
      </c>
      <c r="AC7" s="2">
        <f t="shared" si="1"/>
        <v>236.39039999999994</v>
      </c>
      <c r="AD7" s="2">
        <f t="shared" si="1"/>
        <v>283.66847999999993</v>
      </c>
      <c r="AE7" s="2">
        <f>+AD7*1.15</f>
        <v>326.21875199999988</v>
      </c>
      <c r="AF7" s="2">
        <f>+AE7*1.05</f>
        <v>342.52968959999987</v>
      </c>
    </row>
    <row r="8" spans="1:32" x14ac:dyDescent="0.2">
      <c r="B8" t="s">
        <v>36</v>
      </c>
      <c r="X8">
        <v>67.7</v>
      </c>
      <c r="Y8" s="14">
        <v>118.1</v>
      </c>
    </row>
    <row r="9" spans="1:32" x14ac:dyDescent="0.2">
      <c r="B9" t="s">
        <v>37</v>
      </c>
      <c r="X9">
        <v>22.4</v>
      </c>
      <c r="Y9" s="14">
        <v>38.799999999999997</v>
      </c>
    </row>
    <row r="10" spans="1:32" x14ac:dyDescent="0.2">
      <c r="B10" t="s">
        <v>38</v>
      </c>
      <c r="X10">
        <v>27.6</v>
      </c>
      <c r="Y10" s="14">
        <v>29.7</v>
      </c>
    </row>
    <row r="11" spans="1:32" x14ac:dyDescent="0.2">
      <c r="B11" t="s">
        <v>35</v>
      </c>
      <c r="T11">
        <v>125.7</v>
      </c>
      <c r="U11">
        <v>185.8</v>
      </c>
      <c r="V11">
        <v>250.3</v>
      </c>
      <c r="W11">
        <v>326.89999999999998</v>
      </c>
      <c r="X11" s="14">
        <f>SUM(X7:X10)</f>
        <v>193.2</v>
      </c>
      <c r="Y11" s="14">
        <f>SUM(Y7:Y10)</f>
        <v>300.59999999999997</v>
      </c>
      <c r="Z11" s="2">
        <f>+Y11*1.2</f>
        <v>360.71999999999997</v>
      </c>
      <c r="AA11" s="2">
        <f t="shared" ref="AA11:AD11" si="2">+Z11*1.2</f>
        <v>432.86399999999998</v>
      </c>
      <c r="AB11" s="2">
        <f t="shared" si="2"/>
        <v>519.43679999999995</v>
      </c>
      <c r="AC11" s="2">
        <f t="shared" si="2"/>
        <v>623.32415999999989</v>
      </c>
      <c r="AD11" s="2">
        <f t="shared" si="2"/>
        <v>747.98899199999983</v>
      </c>
      <c r="AE11" s="2">
        <f>+AD11*1.15</f>
        <v>860.18734079999979</v>
      </c>
      <c r="AF11" s="2">
        <f>+AE11*1.05</f>
        <v>903.19670783999982</v>
      </c>
    </row>
    <row r="12" spans="1:32" x14ac:dyDescent="0.2">
      <c r="B12" t="s">
        <v>39</v>
      </c>
      <c r="V12" s="1">
        <f>+V16/V11</f>
        <v>14.590431482221334</v>
      </c>
      <c r="W12" s="1">
        <f>+W16/W11</f>
        <v>14.699415723462833</v>
      </c>
      <c r="X12" s="1">
        <f>+X16/X11</f>
        <v>17.485502070393377</v>
      </c>
      <c r="Y12" s="1">
        <f>+Y16/Y11</f>
        <v>19.932667997338658</v>
      </c>
      <c r="Z12" s="1">
        <f>+Y12*1.03</f>
        <v>20.530648037258818</v>
      </c>
      <c r="AA12" s="1">
        <f t="shared" ref="AA12:AF12" si="3">+Z12*1.03</f>
        <v>21.146567478376582</v>
      </c>
      <c r="AB12" s="1">
        <f t="shared" si="3"/>
        <v>21.78096450272788</v>
      </c>
      <c r="AC12" s="1">
        <f t="shared" si="3"/>
        <v>22.434393437809717</v>
      </c>
      <c r="AD12" s="1">
        <f t="shared" si="3"/>
        <v>23.107425240944011</v>
      </c>
      <c r="AE12" s="1">
        <f t="shared" si="3"/>
        <v>23.80064799817233</v>
      </c>
      <c r="AF12" s="1">
        <f t="shared" si="3"/>
        <v>24.514667438117502</v>
      </c>
    </row>
    <row r="13" spans="1:32" x14ac:dyDescent="0.2">
      <c r="B13" t="s">
        <v>41</v>
      </c>
      <c r="V13" s="1">
        <f>+V4/V11</f>
        <v>117.62165401518178</v>
      </c>
      <c r="W13" s="1">
        <f>+W4/W11</f>
        <v>116.1290914652799</v>
      </c>
      <c r="X13" s="1">
        <f>+X4/X11</f>
        <v>123.68995859213253</v>
      </c>
      <c r="Y13" s="1">
        <f>+Y4/Y11</f>
        <v>155.94477711244181</v>
      </c>
    </row>
    <row r="14" spans="1:32" x14ac:dyDescent="0.2">
      <c r="B14" t="s">
        <v>43</v>
      </c>
      <c r="X14" s="1">
        <f>+X3/X7</f>
        <v>174.43576158940397</v>
      </c>
      <c r="Y14" s="1">
        <f t="shared" ref="Y14" si="4">+Y3/Y7</f>
        <v>221.9780701754386</v>
      </c>
    </row>
    <row r="16" spans="1:32" s="7" customFormat="1" x14ac:dyDescent="0.2">
      <c r="B16" s="7" t="s">
        <v>8</v>
      </c>
      <c r="C16" s="8">
        <v>839.00400000000002</v>
      </c>
      <c r="D16" s="8">
        <v>1213.6780000000001</v>
      </c>
      <c r="E16" s="8">
        <v>1645.761</v>
      </c>
      <c r="F16" s="8">
        <v>1106.796</v>
      </c>
      <c r="G16" s="8">
        <v>841.83</v>
      </c>
      <c r="H16" s="8">
        <v>334.774</v>
      </c>
      <c r="I16" s="8">
        <v>1342.3309999999999</v>
      </c>
      <c r="J16" s="8">
        <v>859.26400000000001</v>
      </c>
      <c r="K16" s="8">
        <v>886.93600000000004</v>
      </c>
      <c r="L16" s="8">
        <v>1335.96</v>
      </c>
      <c r="M16" s="8">
        <v>2237.4319999999998</v>
      </c>
      <c r="N16" s="8">
        <f>5991.76-M16-L16-K16</f>
        <v>1531.4320000000002</v>
      </c>
      <c r="O16" s="8">
        <v>1508.9369999999999</v>
      </c>
      <c r="P16" s="8">
        <v>2104.107</v>
      </c>
      <c r="Q16" s="8">
        <v>2884.41</v>
      </c>
      <c r="R16" s="8">
        <f>+N16*1.1</f>
        <v>1684.5752000000005</v>
      </c>
      <c r="V16" s="7">
        <v>3651.9850000000001</v>
      </c>
      <c r="W16" s="7">
        <v>4805.2389999999996</v>
      </c>
      <c r="X16" s="7">
        <v>3378.1990000000001</v>
      </c>
      <c r="Y16" s="7">
        <f>SUM(K16:N16)</f>
        <v>5991.76</v>
      </c>
      <c r="Z16" s="7">
        <f>SUM(O16:R16)</f>
        <v>8182.0291999999999</v>
      </c>
      <c r="AA16" s="7">
        <f>+AA12*AA11</f>
        <v>9153.5877849600001</v>
      </c>
      <c r="AB16" s="7">
        <f t="shared" ref="AB16:AF16" si="5">+AB12*AB11</f>
        <v>11313.83450221056</v>
      </c>
      <c r="AC16" s="7">
        <f t="shared" si="5"/>
        <v>13983.899444732251</v>
      </c>
      <c r="AD16" s="7">
        <f t="shared" si="5"/>
        <v>17284.099713689062</v>
      </c>
      <c r="AE16" s="7">
        <f t="shared" si="5"/>
        <v>20473.016110864693</v>
      </c>
      <c r="AF16" s="7">
        <f t="shared" si="5"/>
        <v>22141.566923900169</v>
      </c>
    </row>
    <row r="17" spans="2:96" s="2" customFormat="1" x14ac:dyDescent="0.2">
      <c r="B17" s="2" t="s">
        <v>20</v>
      </c>
      <c r="C17" s="4"/>
      <c r="D17" s="4"/>
      <c r="E17" s="4"/>
      <c r="F17" s="4"/>
      <c r="G17" s="4"/>
      <c r="H17" s="4"/>
      <c r="I17" s="4"/>
      <c r="J17" s="4"/>
      <c r="K17" s="4">
        <f>254.515+185.436</f>
        <v>439.95100000000002</v>
      </c>
      <c r="L17" s="4">
        <f>294.427+208.125</f>
        <v>502.55200000000002</v>
      </c>
      <c r="M17" s="4">
        <f>311.58+228.33</f>
        <v>539.91</v>
      </c>
      <c r="N17" s="4"/>
      <c r="O17" s="4">
        <f>362.623+233.012</f>
        <v>595.63499999999999</v>
      </c>
      <c r="P17" s="4">
        <f>390.107+258.255</f>
        <v>648.36200000000008</v>
      </c>
      <c r="Q17" s="4">
        <f>401.149+289.946</f>
        <v>691.09500000000003</v>
      </c>
      <c r="R17" s="4"/>
      <c r="V17" s="2">
        <f>864.032+609.202</f>
        <v>1473.2339999999999</v>
      </c>
      <c r="W17" s="2">
        <f>1155.833+847.057</f>
        <v>2002.89</v>
      </c>
      <c r="X17" s="2">
        <f>876.042+877.901</f>
        <v>1753.943</v>
      </c>
      <c r="Y17" s="2">
        <f>1155.833+847.057</f>
        <v>2002.89</v>
      </c>
    </row>
    <row r="18" spans="2:96" s="2" customFormat="1" x14ac:dyDescent="0.2">
      <c r="B18" s="2" t="s">
        <v>21</v>
      </c>
      <c r="C18" s="4"/>
      <c r="D18" s="4"/>
      <c r="E18" s="4"/>
      <c r="F18" s="4"/>
      <c r="G18" s="4"/>
      <c r="H18" s="4"/>
      <c r="I18" s="4"/>
      <c r="J18" s="4"/>
      <c r="K18" s="4">
        <f t="shared" ref="K18" si="6">+K16-K17</f>
        <v>446.98500000000001</v>
      </c>
      <c r="L18" s="4">
        <f>+L16-L17</f>
        <v>833.40800000000002</v>
      </c>
      <c r="M18" s="4">
        <f>+M16-M17</f>
        <v>1697.5219999999999</v>
      </c>
      <c r="N18" s="4"/>
      <c r="O18" s="4">
        <f t="shared" ref="O18" si="7">+O16-O17</f>
        <v>913.30199999999991</v>
      </c>
      <c r="P18" s="4">
        <f>+P16-P17</f>
        <v>1455.7449999999999</v>
      </c>
      <c r="Q18" s="4">
        <f>+Q16-Q17</f>
        <v>2193.3149999999996</v>
      </c>
      <c r="R18" s="4"/>
      <c r="V18" s="2">
        <f t="shared" ref="V18:X18" si="8">+V16-V17</f>
        <v>2178.7510000000002</v>
      </c>
      <c r="W18" s="2">
        <f t="shared" si="8"/>
        <v>2802.3489999999993</v>
      </c>
      <c r="X18" s="2">
        <f t="shared" si="8"/>
        <v>1624.2560000000001</v>
      </c>
      <c r="Y18" s="2">
        <f>+Y16-Y17</f>
        <v>3988.87</v>
      </c>
      <c r="Z18" s="2">
        <f>+Z16*0.67</f>
        <v>5481.9595640000007</v>
      </c>
      <c r="AA18" s="2">
        <f t="shared" ref="AA18:AF18" si="9">+AA16*0.67</f>
        <v>6132.9038159232005</v>
      </c>
      <c r="AB18" s="2">
        <f t="shared" si="9"/>
        <v>7580.2691164810758</v>
      </c>
      <c r="AC18" s="2">
        <f t="shared" si="9"/>
        <v>9369.2126279706081</v>
      </c>
      <c r="AD18" s="2">
        <f t="shared" si="9"/>
        <v>11580.346808171673</v>
      </c>
      <c r="AE18" s="2">
        <f t="shared" si="9"/>
        <v>13716.920794279346</v>
      </c>
      <c r="AF18" s="2">
        <f t="shared" si="9"/>
        <v>14834.849839013114</v>
      </c>
    </row>
    <row r="19" spans="2:96" s="2" customFormat="1" x14ac:dyDescent="0.2">
      <c r="B19" s="2" t="s">
        <v>22</v>
      </c>
      <c r="C19" s="4"/>
      <c r="D19" s="4"/>
      <c r="E19" s="4"/>
      <c r="F19" s="4"/>
      <c r="G19" s="4"/>
      <c r="H19" s="4"/>
      <c r="I19" s="4"/>
      <c r="J19" s="4"/>
      <c r="K19" s="4">
        <v>363.06099999999998</v>
      </c>
      <c r="L19" s="4">
        <v>349.73399999999998</v>
      </c>
      <c r="M19" s="4">
        <v>344.41</v>
      </c>
      <c r="N19" s="4"/>
      <c r="O19" s="4">
        <v>362.92700000000002</v>
      </c>
      <c r="P19" s="4">
        <v>375.05</v>
      </c>
      <c r="Q19" s="4">
        <v>366.18200000000002</v>
      </c>
      <c r="R19" s="4"/>
      <c r="V19" s="2">
        <v>579.19299999999998</v>
      </c>
      <c r="W19" s="2">
        <v>976.69500000000005</v>
      </c>
      <c r="X19" s="2">
        <v>2752.8719999999998</v>
      </c>
      <c r="Y19" s="2">
        <v>1425.048</v>
      </c>
      <c r="Z19" s="2">
        <f t="shared" ref="Z19:AF19" si="10">+Y19*1.03</f>
        <v>1467.79944</v>
      </c>
      <c r="AA19" s="2">
        <f t="shared" si="10"/>
        <v>1511.8334232</v>
      </c>
      <c r="AB19" s="2">
        <f t="shared" si="10"/>
        <v>1557.1884258959999</v>
      </c>
      <c r="AC19" s="2">
        <f t="shared" si="10"/>
        <v>1603.9040786728799</v>
      </c>
      <c r="AD19" s="2">
        <f t="shared" si="10"/>
        <v>1652.0212010330663</v>
      </c>
      <c r="AE19" s="2">
        <f t="shared" si="10"/>
        <v>1701.5818370640584</v>
      </c>
      <c r="AF19" s="2">
        <f t="shared" si="10"/>
        <v>1752.6292921759803</v>
      </c>
    </row>
    <row r="20" spans="2:96" s="2" customFormat="1" x14ac:dyDescent="0.2">
      <c r="B20" s="2" t="s">
        <v>23</v>
      </c>
      <c r="C20" s="4"/>
      <c r="D20" s="4"/>
      <c r="E20" s="4"/>
      <c r="F20" s="4"/>
      <c r="G20" s="4"/>
      <c r="H20" s="4"/>
      <c r="I20" s="4"/>
      <c r="J20" s="4"/>
      <c r="K20" s="4">
        <v>229.125</v>
      </c>
      <c r="L20" s="4">
        <v>315.32299999999998</v>
      </c>
      <c r="M20" s="4">
        <v>290.85599999999999</v>
      </c>
      <c r="N20" s="4"/>
      <c r="O20" s="4">
        <v>344.61599999999999</v>
      </c>
      <c r="P20" s="4">
        <v>379.875</v>
      </c>
      <c r="Q20" s="4">
        <v>383.16500000000002</v>
      </c>
      <c r="R20" s="4"/>
      <c r="V20" s="2">
        <v>1101.327</v>
      </c>
      <c r="W20" s="2">
        <v>1621.519</v>
      </c>
      <c r="X20" s="2">
        <v>1175.325</v>
      </c>
      <c r="Y20" s="2">
        <v>1186.3320000000001</v>
      </c>
      <c r="Z20" s="2">
        <f>+Y20*1.03</f>
        <v>1221.9219600000001</v>
      </c>
      <c r="AA20" s="2">
        <f t="shared" ref="AA20:AF20" si="11">+Z20*1.03</f>
        <v>1258.5796188000002</v>
      </c>
      <c r="AB20" s="2">
        <f t="shared" si="11"/>
        <v>1296.3370073640001</v>
      </c>
      <c r="AC20" s="2">
        <f t="shared" si="11"/>
        <v>1335.2271175849201</v>
      </c>
      <c r="AD20" s="2">
        <f t="shared" si="11"/>
        <v>1375.2839311124676</v>
      </c>
      <c r="AE20" s="2">
        <f t="shared" si="11"/>
        <v>1416.5424490458417</v>
      </c>
      <c r="AF20" s="2">
        <f t="shared" si="11"/>
        <v>1459.0387225172171</v>
      </c>
    </row>
    <row r="21" spans="2:96" s="2" customFormat="1" x14ac:dyDescent="0.2">
      <c r="B21" s="2" t="s">
        <v>24</v>
      </c>
      <c r="C21" s="4"/>
      <c r="D21" s="4"/>
      <c r="E21" s="4"/>
      <c r="F21" s="4"/>
      <c r="G21" s="4"/>
      <c r="H21" s="4"/>
      <c r="I21" s="4"/>
      <c r="J21" s="4"/>
      <c r="K21" s="4">
        <v>189.762</v>
      </c>
      <c r="L21" s="4">
        <v>218.303</v>
      </c>
      <c r="M21" s="4">
        <v>210.74799999999999</v>
      </c>
      <c r="N21" s="4"/>
      <c r="O21" s="4">
        <v>210.57300000000001</v>
      </c>
      <c r="P21" s="4">
        <v>243.25399999999999</v>
      </c>
      <c r="Q21" s="4">
        <v>240.435</v>
      </c>
      <c r="R21" s="4"/>
      <c r="V21" s="2">
        <v>479.48700000000002</v>
      </c>
      <c r="W21" s="2">
        <v>697.18100000000004</v>
      </c>
      <c r="X21" s="2">
        <v>1134.51</v>
      </c>
      <c r="Y21" s="2">
        <v>835.32399999999996</v>
      </c>
      <c r="Z21" s="2">
        <f>+Y21*1.03</f>
        <v>860.38371999999993</v>
      </c>
      <c r="AA21" s="2">
        <f t="shared" ref="AA21:AF21" si="12">+Z21*1.03</f>
        <v>886.19523159999994</v>
      </c>
      <c r="AB21" s="2">
        <f t="shared" si="12"/>
        <v>912.78108854799996</v>
      </c>
      <c r="AC21" s="2">
        <f t="shared" si="12"/>
        <v>940.16452120444001</v>
      </c>
      <c r="AD21" s="2">
        <f t="shared" si="12"/>
        <v>968.36945684057321</v>
      </c>
      <c r="AE21" s="2">
        <f t="shared" si="12"/>
        <v>997.42054054579046</v>
      </c>
      <c r="AF21" s="2">
        <f t="shared" si="12"/>
        <v>1027.3431567621642</v>
      </c>
    </row>
    <row r="22" spans="2:96" s="2" customFormat="1" x14ac:dyDescent="0.2">
      <c r="B22" s="2" t="s">
        <v>25</v>
      </c>
      <c r="C22" s="4"/>
      <c r="D22" s="4"/>
      <c r="E22" s="4"/>
      <c r="F22" s="4"/>
      <c r="G22" s="4"/>
      <c r="H22" s="4"/>
      <c r="I22" s="4"/>
      <c r="J22" s="4"/>
      <c r="K22" s="4">
        <f t="shared" ref="K22" si="13">+K19+K20+K21</f>
        <v>781.94799999999987</v>
      </c>
      <c r="L22" s="4">
        <f>+L19+L20+L21</f>
        <v>883.36</v>
      </c>
      <c r="M22" s="4">
        <f>+M19+M20+M21</f>
        <v>846.01400000000012</v>
      </c>
      <c r="N22" s="4"/>
      <c r="O22" s="4">
        <f t="shared" ref="O22" si="14">+O19+O20+O21</f>
        <v>918.11599999999999</v>
      </c>
      <c r="P22" s="4">
        <f>+P19+P20+P21</f>
        <v>998.17899999999997</v>
      </c>
      <c r="Q22" s="4">
        <f>+Q19+Q20+Q21</f>
        <v>989.78199999999993</v>
      </c>
      <c r="R22" s="4"/>
      <c r="V22" s="2">
        <f t="shared" ref="V22:X22" si="15">+V21+V20+V19</f>
        <v>2160.0070000000001</v>
      </c>
      <c r="W22" s="2">
        <f t="shared" si="15"/>
        <v>3295.395</v>
      </c>
      <c r="X22" s="2">
        <f t="shared" si="15"/>
        <v>5062.7070000000003</v>
      </c>
      <c r="Y22" s="2">
        <f>+Y21+Y20+Y19</f>
        <v>3446.7039999999997</v>
      </c>
      <c r="Z22" s="2">
        <f t="shared" ref="Z22:AF22" si="16">+Z21+Z20+Z19</f>
        <v>3550.1051200000002</v>
      </c>
      <c r="AA22" s="2">
        <f t="shared" si="16"/>
        <v>3656.6082735999998</v>
      </c>
      <c r="AB22" s="2">
        <f t="shared" si="16"/>
        <v>3766.3065218080001</v>
      </c>
      <c r="AC22" s="2">
        <f t="shared" si="16"/>
        <v>3879.2957174622397</v>
      </c>
      <c r="AD22" s="2">
        <f t="shared" si="16"/>
        <v>3995.6745889861068</v>
      </c>
      <c r="AE22" s="2">
        <f t="shared" si="16"/>
        <v>4115.5448266556905</v>
      </c>
      <c r="AF22" s="2">
        <f t="shared" si="16"/>
        <v>4239.0111714553614</v>
      </c>
    </row>
    <row r="23" spans="2:96" s="2" customFormat="1" x14ac:dyDescent="0.2">
      <c r="B23" s="2" t="s">
        <v>26</v>
      </c>
      <c r="C23" s="4"/>
      <c r="D23" s="4"/>
      <c r="E23" s="4"/>
      <c r="F23" s="4"/>
      <c r="G23" s="4"/>
      <c r="H23" s="4"/>
      <c r="I23" s="4"/>
      <c r="J23" s="4"/>
      <c r="K23" s="4">
        <f t="shared" ref="K23" si="17">+K18-K22</f>
        <v>-334.96299999999985</v>
      </c>
      <c r="L23" s="4">
        <f>+L18-L22</f>
        <v>-49.951999999999998</v>
      </c>
      <c r="M23" s="4">
        <f>+M18-M22</f>
        <v>851.50799999999981</v>
      </c>
      <c r="N23" s="4"/>
      <c r="O23" s="4">
        <f>+O18-O22</f>
        <v>-4.8140000000000782</v>
      </c>
      <c r="P23" s="4">
        <f>+P18-P22</f>
        <v>457.56599999999992</v>
      </c>
      <c r="Q23" s="4">
        <f>+Q18-Q22</f>
        <v>1203.5329999999997</v>
      </c>
      <c r="R23" s="4"/>
      <c r="V23" s="2">
        <f t="shared" ref="V23:X23" si="18">+V18-V22</f>
        <v>18.744000000000142</v>
      </c>
      <c r="W23" s="2">
        <f t="shared" si="18"/>
        <v>-493.04600000000073</v>
      </c>
      <c r="X23" s="2">
        <f t="shared" si="18"/>
        <v>-3438.451</v>
      </c>
      <c r="Y23" s="2">
        <f>+Y18-Y22</f>
        <v>542.16600000000017</v>
      </c>
      <c r="Z23" s="2">
        <f t="shared" ref="Z23:AF23" si="19">+Z18-Z22</f>
        <v>1931.8544440000005</v>
      </c>
      <c r="AA23" s="2">
        <f t="shared" si="19"/>
        <v>2476.2955423232006</v>
      </c>
      <c r="AB23" s="2">
        <f t="shared" si="19"/>
        <v>3813.9625946730757</v>
      </c>
      <c r="AC23" s="2">
        <f t="shared" si="19"/>
        <v>5489.9169105083683</v>
      </c>
      <c r="AD23" s="2">
        <f t="shared" si="19"/>
        <v>7584.6722191855661</v>
      </c>
      <c r="AE23" s="2">
        <f t="shared" si="19"/>
        <v>9601.375967623655</v>
      </c>
      <c r="AF23" s="2">
        <f t="shared" si="19"/>
        <v>10595.838667557753</v>
      </c>
    </row>
    <row r="24" spans="2:96" x14ac:dyDescent="0.2">
      <c r="B24" s="2" t="s">
        <v>27</v>
      </c>
      <c r="C24" s="4"/>
      <c r="D24" s="4"/>
      <c r="E24" s="4"/>
      <c r="F24" s="4"/>
      <c r="K24" s="4">
        <v>3.052</v>
      </c>
      <c r="L24" s="4">
        <f>2.942-6.52</f>
        <v>-3.5779999999999994</v>
      </c>
      <c r="M24" s="4">
        <f>2.962-6.649+13.643</f>
        <v>9.9560000000000013</v>
      </c>
      <c r="O24" s="4">
        <f>4.744-5.764</f>
        <v>-1.0200000000000005</v>
      </c>
      <c r="P24" s="4">
        <f>20.247-7.483</f>
        <v>12.763999999999999</v>
      </c>
      <c r="Q24" s="4">
        <f>58.457-5.682+2.172</f>
        <v>54.946999999999996</v>
      </c>
      <c r="V24" s="2">
        <f>66.793-26.143</f>
        <v>40.650000000000006</v>
      </c>
      <c r="W24" s="2">
        <v>85.902000000000001</v>
      </c>
      <c r="X24" s="2">
        <v>27.117000000000001</v>
      </c>
      <c r="Y24" s="2">
        <v>12.734</v>
      </c>
    </row>
    <row r="25" spans="2:96" x14ac:dyDescent="0.2">
      <c r="B25" s="2" t="s">
        <v>28</v>
      </c>
      <c r="C25" s="4"/>
      <c r="D25" s="4"/>
      <c r="E25" s="4"/>
      <c r="F25" s="4"/>
      <c r="K25" s="4">
        <f t="shared" ref="K25" si="20">+K23-K24</f>
        <v>-338.01499999999987</v>
      </c>
      <c r="L25" s="4">
        <f>+L23-L24</f>
        <v>-46.373999999999995</v>
      </c>
      <c r="M25" s="4">
        <f>+M23-M24</f>
        <v>841.55199999999979</v>
      </c>
      <c r="O25" s="4">
        <f t="shared" ref="O25" si="21">+O23-O24</f>
        <v>-3.7940000000000778</v>
      </c>
      <c r="P25" s="4">
        <f>+P23-P24</f>
        <v>444.80199999999991</v>
      </c>
      <c r="Q25" s="4">
        <f>+Q23-Q24</f>
        <v>1148.5859999999998</v>
      </c>
      <c r="V25" s="2">
        <f>+V23+V24</f>
        <v>59.394000000000148</v>
      </c>
      <c r="W25" s="2">
        <f>+W23+W24</f>
        <v>-407.14400000000074</v>
      </c>
      <c r="X25" s="2">
        <f>+X23+X24</f>
        <v>-3411.3339999999998</v>
      </c>
      <c r="Y25" s="2">
        <f>+Y23+Y24</f>
        <v>554.9000000000002</v>
      </c>
      <c r="Z25" s="2">
        <f t="shared" ref="Z25:AF25" si="22">+Z23+Z24</f>
        <v>1931.8544440000005</v>
      </c>
      <c r="AA25" s="2">
        <f t="shared" si="22"/>
        <v>2476.2955423232006</v>
      </c>
      <c r="AB25" s="2">
        <f t="shared" si="22"/>
        <v>3813.9625946730757</v>
      </c>
      <c r="AC25" s="2">
        <f t="shared" si="22"/>
        <v>5489.9169105083683</v>
      </c>
      <c r="AD25" s="2">
        <f t="shared" si="22"/>
        <v>7584.6722191855661</v>
      </c>
      <c r="AE25" s="2">
        <f t="shared" si="22"/>
        <v>9601.375967623655</v>
      </c>
      <c r="AF25" s="2">
        <f t="shared" si="22"/>
        <v>10595.838667557753</v>
      </c>
    </row>
    <row r="26" spans="2:96" s="2" customFormat="1" x14ac:dyDescent="0.2">
      <c r="B26" s="2" t="s">
        <v>31</v>
      </c>
      <c r="C26" s="4"/>
      <c r="D26" s="4"/>
      <c r="E26" s="4"/>
      <c r="F26" s="4"/>
      <c r="G26" s="4"/>
      <c r="H26" s="4"/>
      <c r="I26" s="4"/>
      <c r="J26" s="4"/>
      <c r="K26" s="4">
        <v>6.3090000000000002</v>
      </c>
      <c r="L26" s="4">
        <v>11.233000000000001</v>
      </c>
      <c r="M26" s="4">
        <v>16.565000000000001</v>
      </c>
      <c r="N26" s="4"/>
      <c r="O26" s="4">
        <v>10.706</v>
      </c>
      <c r="P26" s="4">
        <v>4.2699999999999996</v>
      </c>
      <c r="Q26" s="4">
        <v>55.610999999999997</v>
      </c>
      <c r="R26" s="4"/>
      <c r="V26" s="2">
        <v>63.893000000000001</v>
      </c>
      <c r="W26" s="2">
        <v>262.63600000000002</v>
      </c>
      <c r="X26" s="2">
        <v>0</v>
      </c>
      <c r="Y26" s="2">
        <v>51.826999999999998</v>
      </c>
      <c r="Z26" s="2">
        <f>+Z25*0.2</f>
        <v>386.3708888000001</v>
      </c>
      <c r="AA26" s="2">
        <f t="shared" ref="AA26:AF26" si="23">+AA25*0.2</f>
        <v>495.25910846464012</v>
      </c>
      <c r="AB26" s="2">
        <f t="shared" si="23"/>
        <v>762.79251893461515</v>
      </c>
      <c r="AC26" s="2">
        <f t="shared" si="23"/>
        <v>1097.9833821016737</v>
      </c>
      <c r="AD26" s="2">
        <f t="shared" si="23"/>
        <v>1516.9344438371133</v>
      </c>
      <c r="AE26" s="2">
        <f t="shared" si="23"/>
        <v>1920.2751935247311</v>
      </c>
      <c r="AF26" s="2">
        <f t="shared" si="23"/>
        <v>2119.1677335115505</v>
      </c>
    </row>
    <row r="27" spans="2:96" s="2" customFormat="1" x14ac:dyDescent="0.2">
      <c r="B27" s="2" t="s">
        <v>30</v>
      </c>
      <c r="C27" s="4"/>
      <c r="D27" s="4"/>
      <c r="E27" s="4"/>
      <c r="F27" s="4"/>
      <c r="G27" s="4"/>
      <c r="H27" s="4"/>
      <c r="I27" s="4"/>
      <c r="J27" s="4"/>
      <c r="K27" s="4">
        <f t="shared" ref="K27" si="24">+K25-K26</f>
        <v>-344.3239999999999</v>
      </c>
      <c r="L27" s="4">
        <f>+L25-L26</f>
        <v>-57.606999999999999</v>
      </c>
      <c r="M27" s="4">
        <f>+M25-M26</f>
        <v>824.98699999999974</v>
      </c>
      <c r="N27" s="4"/>
      <c r="O27" s="4">
        <f t="shared" ref="O27" si="25">+O25-O26</f>
        <v>-14.500000000000078</v>
      </c>
      <c r="P27" s="4">
        <f>+P25-P26</f>
        <v>440.53199999999993</v>
      </c>
      <c r="Q27" s="4">
        <f>+Q25-Q26</f>
        <v>1092.9749999999997</v>
      </c>
      <c r="R27" s="4"/>
      <c r="V27" s="2">
        <f>+V25-V26</f>
        <v>-4.4989999999998531</v>
      </c>
      <c r="W27" s="2">
        <f>+W25-W26</f>
        <v>-669.78000000000077</v>
      </c>
      <c r="X27" s="2">
        <f>+X25-X26</f>
        <v>-3411.3339999999998</v>
      </c>
      <c r="Y27" s="2">
        <f>+Y25-Y26</f>
        <v>503.07300000000021</v>
      </c>
      <c r="Z27" s="2">
        <f t="shared" ref="Z27:AF27" si="26">+Z25-Z26</f>
        <v>1545.4835552000004</v>
      </c>
      <c r="AA27" s="2">
        <f t="shared" si="26"/>
        <v>1981.0364338585605</v>
      </c>
      <c r="AB27" s="2">
        <f t="shared" si="26"/>
        <v>3051.1700757384606</v>
      </c>
      <c r="AC27" s="2">
        <f t="shared" si="26"/>
        <v>4391.9335284066947</v>
      </c>
      <c r="AD27" s="2">
        <f t="shared" si="26"/>
        <v>6067.7377753484525</v>
      </c>
      <c r="AE27" s="2">
        <f t="shared" si="26"/>
        <v>7681.1007740989244</v>
      </c>
      <c r="AF27" s="2">
        <f t="shared" si="26"/>
        <v>8476.6709340462021</v>
      </c>
      <c r="AG27" s="2">
        <f t="shared" ref="AG27:BL27" si="27">+AF27*(1+$AK$32)</f>
        <v>8561.4376433866637</v>
      </c>
      <c r="AH27" s="2">
        <f t="shared" si="27"/>
        <v>8647.0520198205304</v>
      </c>
      <c r="AI27" s="2">
        <f t="shared" si="27"/>
        <v>8733.5225400187355</v>
      </c>
      <c r="AJ27" s="2">
        <f t="shared" si="27"/>
        <v>8820.857765418923</v>
      </c>
      <c r="AK27" s="2">
        <f t="shared" si="27"/>
        <v>8909.0663430731129</v>
      </c>
      <c r="AL27" s="2">
        <f t="shared" si="27"/>
        <v>8998.157006503845</v>
      </c>
      <c r="AM27" s="2">
        <f t="shared" si="27"/>
        <v>9088.1385765688829</v>
      </c>
      <c r="AN27" s="2">
        <f t="shared" si="27"/>
        <v>9179.0199623345725</v>
      </c>
      <c r="AO27" s="2">
        <f t="shared" si="27"/>
        <v>9270.8101619579174</v>
      </c>
      <c r="AP27" s="2">
        <f t="shared" si="27"/>
        <v>9363.5182635774963</v>
      </c>
      <c r="AQ27" s="2">
        <f t="shared" si="27"/>
        <v>9457.1534462132713</v>
      </c>
      <c r="AR27" s="2">
        <f t="shared" si="27"/>
        <v>9551.7249806754044</v>
      </c>
      <c r="AS27" s="2">
        <f t="shared" si="27"/>
        <v>9647.2422304821594</v>
      </c>
      <c r="AT27" s="2">
        <f t="shared" si="27"/>
        <v>9743.7146527869809</v>
      </c>
      <c r="AU27" s="2">
        <f t="shared" si="27"/>
        <v>9841.15179931485</v>
      </c>
      <c r="AV27" s="2">
        <f t="shared" si="27"/>
        <v>9939.5633173079987</v>
      </c>
      <c r="AW27" s="2">
        <f t="shared" si="27"/>
        <v>10038.958950481079</v>
      </c>
      <c r="AX27" s="2">
        <f t="shared" si="27"/>
        <v>10139.348539985891</v>
      </c>
      <c r="AY27" s="2">
        <f t="shared" si="27"/>
        <v>10240.742025385751</v>
      </c>
      <c r="AZ27" s="2">
        <f t="shared" si="27"/>
        <v>10343.149445639609</v>
      </c>
      <c r="BA27" s="2">
        <f t="shared" si="27"/>
        <v>10446.580940096004</v>
      </c>
      <c r="BB27" s="2">
        <f t="shared" si="27"/>
        <v>10551.046749496965</v>
      </c>
      <c r="BC27" s="2">
        <f t="shared" si="27"/>
        <v>10656.557216991934</v>
      </c>
      <c r="BD27" s="2">
        <f t="shared" si="27"/>
        <v>10763.122789161853</v>
      </c>
      <c r="BE27" s="2">
        <f t="shared" si="27"/>
        <v>10870.754017053472</v>
      </c>
      <c r="BF27" s="2">
        <f t="shared" si="27"/>
        <v>10979.461557224007</v>
      </c>
      <c r="BG27" s="2">
        <f t="shared" si="27"/>
        <v>11089.256172796247</v>
      </c>
      <c r="BH27" s="2">
        <f t="shared" si="27"/>
        <v>11200.148734524209</v>
      </c>
      <c r="BI27" s="2">
        <f t="shared" si="27"/>
        <v>11312.150221869451</v>
      </c>
      <c r="BJ27" s="2">
        <f t="shared" si="27"/>
        <v>11425.271724088147</v>
      </c>
      <c r="BK27" s="2">
        <f t="shared" si="27"/>
        <v>11539.524441329027</v>
      </c>
      <c r="BL27" s="2">
        <f t="shared" si="27"/>
        <v>11654.919685742318</v>
      </c>
      <c r="BM27" s="2">
        <f t="shared" ref="BM27:CR27" si="28">+BL27*(1+$AK$32)</f>
        <v>11771.46888259974</v>
      </c>
      <c r="BN27" s="2">
        <f t="shared" si="28"/>
        <v>11889.183571425738</v>
      </c>
      <c r="BO27" s="2">
        <f t="shared" si="28"/>
        <v>12008.075407139995</v>
      </c>
      <c r="BP27" s="2">
        <f t="shared" si="28"/>
        <v>12128.156161211395</v>
      </c>
      <c r="BQ27" s="2">
        <f t="shared" si="28"/>
        <v>12249.437722823508</v>
      </c>
      <c r="BR27" s="2">
        <f t="shared" si="28"/>
        <v>12371.932100051743</v>
      </c>
      <c r="BS27" s="2">
        <f t="shared" si="28"/>
        <v>12495.65142105226</v>
      </c>
      <c r="BT27" s="2">
        <f t="shared" si="28"/>
        <v>12620.607935262782</v>
      </c>
      <c r="BU27" s="2">
        <f t="shared" si="28"/>
        <v>12746.814014615409</v>
      </c>
      <c r="BV27" s="2">
        <f t="shared" si="28"/>
        <v>12874.282154761564</v>
      </c>
      <c r="BW27" s="2">
        <f t="shared" si="28"/>
        <v>13003.02497630918</v>
      </c>
      <c r="BX27" s="2">
        <f t="shared" si="28"/>
        <v>13133.055226072272</v>
      </c>
      <c r="BY27" s="2">
        <f t="shared" si="28"/>
        <v>13264.385778332995</v>
      </c>
      <c r="BZ27" s="2">
        <f t="shared" si="28"/>
        <v>13397.029636116325</v>
      </c>
      <c r="CA27" s="2">
        <f t="shared" si="28"/>
        <v>13530.999932477489</v>
      </c>
      <c r="CB27" s="2">
        <f t="shared" si="28"/>
        <v>13666.309931802263</v>
      </c>
      <c r="CC27" s="2">
        <f t="shared" si="28"/>
        <v>13802.973031120286</v>
      </c>
      <c r="CD27" s="2">
        <f t="shared" si="28"/>
        <v>13941.002761431489</v>
      </c>
      <c r="CE27" s="2">
        <f t="shared" si="28"/>
        <v>14080.412789045804</v>
      </c>
      <c r="CF27" s="2">
        <f t="shared" si="28"/>
        <v>14221.216916936262</v>
      </c>
      <c r="CG27" s="2">
        <f t="shared" si="28"/>
        <v>14363.429086105625</v>
      </c>
      <c r="CH27" s="2">
        <f t="shared" si="28"/>
        <v>14507.063376966682</v>
      </c>
      <c r="CI27" s="2">
        <f t="shared" si="28"/>
        <v>14652.134010736349</v>
      </c>
      <c r="CJ27" s="2">
        <f t="shared" si="28"/>
        <v>14798.655350843712</v>
      </c>
      <c r="CK27" s="2">
        <f t="shared" si="28"/>
        <v>14946.641904352149</v>
      </c>
      <c r="CL27" s="2">
        <f t="shared" si="28"/>
        <v>15096.108323395671</v>
      </c>
      <c r="CM27" s="2">
        <f t="shared" si="28"/>
        <v>15247.069406629627</v>
      </c>
      <c r="CN27" s="2">
        <f t="shared" si="28"/>
        <v>15399.540100695924</v>
      </c>
      <c r="CO27" s="2">
        <f t="shared" si="28"/>
        <v>15553.535501702883</v>
      </c>
      <c r="CP27" s="2">
        <f t="shared" si="28"/>
        <v>15709.070856719913</v>
      </c>
      <c r="CQ27" s="2">
        <f t="shared" si="28"/>
        <v>15866.161565287111</v>
      </c>
      <c r="CR27" s="2">
        <f t="shared" si="28"/>
        <v>16024.823180939982</v>
      </c>
    </row>
    <row r="28" spans="2:96" x14ac:dyDescent="0.2">
      <c r="B28" s="2" t="s">
        <v>29</v>
      </c>
      <c r="C28" s="4"/>
      <c r="D28" s="4"/>
      <c r="E28" s="4"/>
      <c r="F28" s="4"/>
      <c r="K28" s="6">
        <f t="shared" ref="K28" si="29">+K27/K29</f>
        <v>-0.57295660276890292</v>
      </c>
      <c r="L28" s="6">
        <f>+L27/L29</f>
        <v>-9.416924538079148E-2</v>
      </c>
      <c r="M28" s="6">
        <f>+M27/M29</f>
        <v>1.2098073663031805</v>
      </c>
      <c r="O28" s="6">
        <f t="shared" ref="O28" si="30">+O27/O29</f>
        <v>-2.2823359787443813E-2</v>
      </c>
      <c r="P28" s="6">
        <f>+P27/P29</f>
        <v>0.64448982935792698</v>
      </c>
      <c r="Q28" s="6">
        <f>+Q27/Q29</f>
        <v>1.6071767302542863</v>
      </c>
      <c r="V28" s="1">
        <f>+V27/V29</f>
        <v>-1.7551867543674278E-2</v>
      </c>
      <c r="W28" s="1">
        <f>+W27/W29</f>
        <v>-2.570579836964034</v>
      </c>
      <c r="X28" s="1">
        <f t="shared" ref="X28:Z28" si="31">+X27/X29</f>
        <v>-11.996406002187344</v>
      </c>
      <c r="Y28" s="1">
        <f t="shared" si="31"/>
        <v>0.81682148302215851</v>
      </c>
      <c r="Z28" s="1">
        <f t="shared" si="31"/>
        <v>2.3194906149304453</v>
      </c>
      <c r="AA28" s="1">
        <f t="shared" ref="AA28" si="32">+AA27/AA29</f>
        <v>2.9731765185787253</v>
      </c>
      <c r="AB28" s="1">
        <f t="shared" ref="AB28" si="33">+AB27/AB29</f>
        <v>4.5792530961716524</v>
      </c>
      <c r="AC28" s="1">
        <f t="shared" ref="AC28" si="34">+AC27/AC29</f>
        <v>6.5914959536527595</v>
      </c>
      <c r="AD28" s="1">
        <f t="shared" ref="AD28" si="35">+AD27/AD29</f>
        <v>9.1065742993029488</v>
      </c>
      <c r="AE28" s="1">
        <f t="shared" ref="AE28" si="36">+AE27/AE29</f>
        <v>11.527939652228678</v>
      </c>
      <c r="AF28" s="1">
        <f t="shared" ref="AF28" si="37">+AF27/AF29</f>
        <v>12.721946222733804</v>
      </c>
      <c r="AG28" s="1"/>
    </row>
    <row r="29" spans="2:96" s="2" customFormat="1" x14ac:dyDescent="0.2">
      <c r="B29" s="2" t="s">
        <v>1</v>
      </c>
      <c r="C29" s="4"/>
      <c r="D29" s="4"/>
      <c r="E29" s="4"/>
      <c r="F29" s="4"/>
      <c r="G29" s="4"/>
      <c r="H29" s="4"/>
      <c r="I29" s="4"/>
      <c r="J29" s="4"/>
      <c r="K29" s="4">
        <v>600.96</v>
      </c>
      <c r="L29" s="4">
        <v>611.73900000000003</v>
      </c>
      <c r="M29" s="4">
        <v>681.91600000000005</v>
      </c>
      <c r="N29" s="4"/>
      <c r="O29" s="4">
        <v>635.31399999999996</v>
      </c>
      <c r="P29" s="4">
        <v>683.53599999999994</v>
      </c>
      <c r="Q29" s="4">
        <v>680.05899999999997</v>
      </c>
      <c r="R29" s="4"/>
      <c r="V29" s="2">
        <v>256.32600000000002</v>
      </c>
      <c r="W29" s="2">
        <v>260.55599999999998</v>
      </c>
      <c r="X29" s="2">
        <v>284.363</v>
      </c>
      <c r="Y29" s="2">
        <v>615.89099999999996</v>
      </c>
      <c r="Z29" s="2">
        <f>AVERAGE(O29:R29)</f>
        <v>666.303</v>
      </c>
      <c r="AA29" s="2">
        <f>+Z29</f>
        <v>666.303</v>
      </c>
      <c r="AB29" s="2">
        <f t="shared" ref="AB29:AF29" si="38">+AA29</f>
        <v>666.303</v>
      </c>
      <c r="AC29" s="2">
        <f t="shared" si="38"/>
        <v>666.303</v>
      </c>
      <c r="AD29" s="2">
        <f t="shared" si="38"/>
        <v>666.303</v>
      </c>
      <c r="AE29" s="2">
        <f t="shared" si="38"/>
        <v>666.303</v>
      </c>
      <c r="AF29" s="2">
        <f t="shared" si="38"/>
        <v>666.303</v>
      </c>
    </row>
    <row r="31" spans="2:96" s="12" customFormat="1" x14ac:dyDescent="0.2">
      <c r="B31" s="7" t="s">
        <v>48</v>
      </c>
      <c r="C31" s="8"/>
      <c r="D31" s="8"/>
      <c r="E31" s="8"/>
      <c r="F31" s="8"/>
      <c r="G31" s="11">
        <f>+G16/C16-1</f>
        <v>3.3682795314444736E-3</v>
      </c>
      <c r="H31" s="11">
        <f t="shared" ref="H31:N31" si="39">+H16/D16-1</f>
        <v>-0.7241657177603944</v>
      </c>
      <c r="I31" s="11">
        <f t="shared" si="39"/>
        <v>-0.18437063461827086</v>
      </c>
      <c r="J31" s="11">
        <f t="shared" si="39"/>
        <v>-0.22364735687516035</v>
      </c>
      <c r="K31" s="11">
        <f t="shared" si="39"/>
        <v>5.3580889253174613E-2</v>
      </c>
      <c r="L31" s="11">
        <f t="shared" si="39"/>
        <v>2.9906324863938059</v>
      </c>
      <c r="M31" s="11">
        <f t="shared" si="39"/>
        <v>0.66682584250829335</v>
      </c>
      <c r="N31" s="11">
        <f t="shared" si="39"/>
        <v>0.78226016684045918</v>
      </c>
      <c r="O31" s="11">
        <f t="shared" ref="O31" si="40">+O16/K16-1</f>
        <v>0.7012918632235019</v>
      </c>
      <c r="P31" s="11">
        <f>+P16/L16-1</f>
        <v>0.5749775442378513</v>
      </c>
      <c r="Q31" s="11">
        <f>+Q16/M16-1</f>
        <v>0.28916096667965774</v>
      </c>
      <c r="R31" s="11">
        <f t="shared" ref="R31" si="41">+R16/N16-1</f>
        <v>0.10000000000000009</v>
      </c>
      <c r="W31" s="13">
        <f>+W16/V16-1</f>
        <v>0.31578826309527552</v>
      </c>
      <c r="X31" s="13">
        <f>+X16/W16-1</f>
        <v>-0.29697586321929037</v>
      </c>
      <c r="Y31" s="13">
        <f t="shared" ref="Y31:AF31" si="42">+Y16/X16-1</f>
        <v>0.77365513399299446</v>
      </c>
      <c r="Z31" s="13">
        <f t="shared" si="42"/>
        <v>0.36554688438789262</v>
      </c>
      <c r="AA31" s="13">
        <f t="shared" si="42"/>
        <v>0.11874298675932371</v>
      </c>
      <c r="AB31" s="13">
        <f t="shared" si="42"/>
        <v>0.23599999999999999</v>
      </c>
      <c r="AC31" s="13">
        <f t="shared" si="42"/>
        <v>0.23599999999999977</v>
      </c>
      <c r="AD31" s="13">
        <f t="shared" si="42"/>
        <v>0.23599999999999999</v>
      </c>
      <c r="AE31" s="13">
        <f t="shared" si="42"/>
        <v>0.18449999999999989</v>
      </c>
      <c r="AF31" s="13">
        <f t="shared" si="42"/>
        <v>8.1500000000000128E-2</v>
      </c>
      <c r="AJ31" s="12" t="s">
        <v>51</v>
      </c>
      <c r="AK31" s="13">
        <v>0.09</v>
      </c>
    </row>
    <row r="32" spans="2:96" s="12" customFormat="1" x14ac:dyDescent="0.2">
      <c r="B32" s="7" t="s">
        <v>33</v>
      </c>
      <c r="C32" s="8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  <c r="O32" s="11"/>
      <c r="P32" s="11"/>
      <c r="Q32" s="11"/>
      <c r="R32" s="11"/>
      <c r="U32" s="13">
        <f>+U11/T11-1</f>
        <v>0.47812251392203664</v>
      </c>
      <c r="V32" s="13">
        <f t="shared" ref="V32:AF32" si="43">+V11/U11-1</f>
        <v>0.34714747039827776</v>
      </c>
      <c r="W32" s="13">
        <f t="shared" si="43"/>
        <v>0.30603276068717533</v>
      </c>
      <c r="X32" s="13">
        <f t="shared" si="43"/>
        <v>-0.4089935760171306</v>
      </c>
      <c r="Y32" s="13">
        <f t="shared" si="43"/>
        <v>0.55590062111801242</v>
      </c>
      <c r="Z32" s="13">
        <f t="shared" si="43"/>
        <v>0.19999999999999996</v>
      </c>
      <c r="AA32" s="13">
        <f t="shared" si="43"/>
        <v>0.19999999999999996</v>
      </c>
      <c r="AB32" s="13">
        <f t="shared" si="43"/>
        <v>0.19999999999999996</v>
      </c>
      <c r="AC32" s="13">
        <f t="shared" si="43"/>
        <v>0.19999999999999996</v>
      </c>
      <c r="AD32" s="13">
        <f t="shared" si="43"/>
        <v>0.19999999999999996</v>
      </c>
      <c r="AE32" s="13">
        <f t="shared" si="43"/>
        <v>0.14999999999999991</v>
      </c>
      <c r="AF32" s="13">
        <f t="shared" si="43"/>
        <v>5.0000000000000044E-2</v>
      </c>
      <c r="AJ32" s="12" t="s">
        <v>52</v>
      </c>
      <c r="AK32" s="13">
        <v>0.01</v>
      </c>
    </row>
    <row r="33" spans="2:37" x14ac:dyDescent="0.2">
      <c r="B33" t="s">
        <v>32</v>
      </c>
      <c r="K33" s="9">
        <f t="shared" ref="K33" si="44">+K18/K16</f>
        <v>0.50396533684504852</v>
      </c>
      <c r="L33" s="9">
        <f t="shared" ref="L33:M33" si="45">+L18/L16</f>
        <v>0.62382706069043981</v>
      </c>
      <c r="M33" s="9">
        <f t="shared" si="45"/>
        <v>0.75869210773779949</v>
      </c>
      <c r="O33" s="9">
        <f t="shared" ref="O33" si="46">+O18/O16</f>
        <v>0.60526184989830589</v>
      </c>
      <c r="P33" s="9">
        <f>+P18/P16</f>
        <v>0.69185882657108211</v>
      </c>
      <c r="Q33" s="9">
        <f t="shared" ref="Q33:R33" si="47">+Q18/Q16</f>
        <v>0.76040334071785898</v>
      </c>
      <c r="R33" s="9">
        <f t="shared" si="47"/>
        <v>0</v>
      </c>
      <c r="W33" s="9">
        <f t="shared" ref="W33:AF33" si="48">+W18/W16</f>
        <v>0.5831861849119262</v>
      </c>
      <c r="X33" s="9">
        <f t="shared" si="48"/>
        <v>0.48080530483846573</v>
      </c>
      <c r="Y33" s="9">
        <f t="shared" si="48"/>
        <v>0.6657259302775812</v>
      </c>
      <c r="Z33" s="9">
        <f t="shared" si="48"/>
        <v>0.67</v>
      </c>
      <c r="AA33" s="9">
        <f t="shared" si="48"/>
        <v>0.67</v>
      </c>
      <c r="AB33" s="9">
        <f t="shared" si="48"/>
        <v>0.67</v>
      </c>
      <c r="AC33" s="9">
        <f t="shared" si="48"/>
        <v>0.67</v>
      </c>
      <c r="AD33" s="9">
        <f t="shared" si="48"/>
        <v>0.67</v>
      </c>
      <c r="AE33" s="9">
        <f t="shared" si="48"/>
        <v>0.67</v>
      </c>
      <c r="AF33" s="9">
        <f t="shared" si="48"/>
        <v>0.67</v>
      </c>
      <c r="AJ33" t="s">
        <v>53</v>
      </c>
      <c r="AK33" s="2">
        <f>NPV(AK31,AA27:CR27)+Main!L5-Main!L6</f>
        <v>93091.328724496314</v>
      </c>
    </row>
    <row r="34" spans="2:37" x14ac:dyDescent="0.2">
      <c r="AJ34" t="s">
        <v>54</v>
      </c>
      <c r="AK34" s="1">
        <f>AK33/Main!L3</f>
        <v>147.02255738816842</v>
      </c>
    </row>
    <row r="35" spans="2:37" x14ac:dyDescent="0.2">
      <c r="B35" t="s">
        <v>49</v>
      </c>
      <c r="M35" s="4">
        <f>1930.764-L35-K35</f>
        <v>1930.7639999999999</v>
      </c>
      <c r="N35" s="4">
        <f>+Y35-M35-L35-K35</f>
        <v>258.93000000000006</v>
      </c>
      <c r="O35" s="4"/>
      <c r="P35" s="4"/>
      <c r="Q35" s="4">
        <f>2967.302-P35-O35</f>
        <v>2967.3020000000001</v>
      </c>
      <c r="V35" s="2">
        <v>595.55700000000002</v>
      </c>
      <c r="W35" s="2">
        <v>222.727</v>
      </c>
      <c r="X35" s="2">
        <v>-629.73199999999997</v>
      </c>
      <c r="Y35" s="2">
        <v>2189.694</v>
      </c>
      <c r="AJ35" t="s">
        <v>55</v>
      </c>
      <c r="AK35" s="15">
        <f>AK34/Main!L2-1</f>
        <v>0.26286340309369893</v>
      </c>
    </row>
  </sheetData>
  <hyperlinks>
    <hyperlink ref="A1" location="Main!A1" display="Main" xr:uid="{43CAC36B-E2AB-42EE-B3DF-1A671DBC293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2023-02-14T14:01:03Z</dcterms:created>
  <dcterms:modified xsi:type="dcterms:W3CDTF">2025-10-07T14:26:53Z</dcterms:modified>
</cp:coreProperties>
</file>