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aben\Downloads\Aktier att lägga upp\"/>
    </mc:Choice>
  </mc:AlternateContent>
  <xr:revisionPtr revIDLastSave="0" documentId="8_{30648557-B0E4-402B-81B6-6F2C7EEE4C56}" xr6:coauthVersionLast="47" xr6:coauthVersionMax="47" xr10:uidLastSave="{00000000-0000-0000-0000-000000000000}"/>
  <bookViews>
    <workbookView xWindow="3855" yWindow="3855" windowWidth="18075" windowHeight="16020" activeTab="1" xr2:uid="{8BAA6E96-53E2-47A8-B392-B3025814CD1D}"/>
  </bookViews>
  <sheets>
    <sheet name="Main" sheetId="1" r:id="rId1"/>
    <sheet name="Model" sheetId="3" r:id="rId2"/>
    <sheet name="obefazimod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1" i="3" l="1"/>
  <c r="P11" i="3"/>
  <c r="O11" i="3"/>
  <c r="F11" i="3"/>
  <c r="E11" i="3"/>
  <c r="N11" i="3"/>
  <c r="M11" i="3"/>
  <c r="J11" i="3"/>
  <c r="I11" i="3"/>
  <c r="H11" i="3"/>
  <c r="G11" i="3"/>
  <c r="K11" i="3"/>
  <c r="L11" i="3" s="1"/>
  <c r="O6" i="3"/>
  <c r="N6" i="3"/>
  <c r="M6" i="3"/>
  <c r="L6" i="3"/>
  <c r="K6" i="3"/>
  <c r="J6" i="3"/>
  <c r="I6" i="3"/>
  <c r="H6" i="3"/>
  <c r="G6" i="3"/>
  <c r="F6" i="3"/>
  <c r="E6" i="3"/>
  <c r="E25" i="3" l="1"/>
  <c r="D25" i="3"/>
  <c r="I23" i="3"/>
  <c r="H23" i="3"/>
  <c r="G23" i="3"/>
  <c r="F23" i="3"/>
  <c r="O23" i="3"/>
  <c r="N23" i="3"/>
  <c r="M23" i="3"/>
  <c r="L23" i="3"/>
  <c r="K23" i="3"/>
  <c r="K14" i="3"/>
  <c r="L14" i="3" s="1"/>
  <c r="M14" i="3" s="1"/>
  <c r="N14" i="3" s="1"/>
  <c r="O14" i="3" s="1"/>
  <c r="P14" i="3" s="1"/>
  <c r="Q14" i="3" s="1"/>
  <c r="O12" i="3"/>
  <c r="O13" i="3" s="1"/>
  <c r="O15" i="3" s="1"/>
  <c r="N12" i="3"/>
  <c r="N13" i="3" s="1"/>
  <c r="N15" i="3" s="1"/>
  <c r="M12" i="3"/>
  <c r="M13" i="3" s="1"/>
  <c r="M15" i="3" s="1"/>
  <c r="L12" i="3"/>
  <c r="L13" i="3" s="1"/>
  <c r="L15" i="3" s="1"/>
  <c r="K12" i="3"/>
  <c r="K13" i="3" s="1"/>
  <c r="K15" i="3" s="1"/>
  <c r="Q12" i="3"/>
  <c r="Q13" i="3" s="1"/>
  <c r="Q15" i="3" s="1"/>
  <c r="J23" i="3"/>
  <c r="G14" i="3"/>
  <c r="H14" i="3" s="1"/>
  <c r="I14" i="3" s="1"/>
  <c r="J14" i="3" s="1"/>
  <c r="J12" i="3"/>
  <c r="J13" i="3" s="1"/>
  <c r="J15" i="3" s="1"/>
  <c r="I12" i="3"/>
  <c r="I13" i="3" s="1"/>
  <c r="I15" i="3" s="1"/>
  <c r="H12" i="3"/>
  <c r="H13" i="3" s="1"/>
  <c r="H15" i="3" s="1"/>
  <c r="H17" i="3" s="1"/>
  <c r="G12" i="3"/>
  <c r="G13" i="3" s="1"/>
  <c r="G15" i="3" s="1"/>
  <c r="G17" i="3" s="1"/>
  <c r="F12" i="3"/>
  <c r="F13" i="3" s="1"/>
  <c r="F15" i="3" s="1"/>
  <c r="F17" i="3" s="1"/>
  <c r="F19" i="3" s="1"/>
  <c r="E12" i="3"/>
  <c r="E13" i="3" s="1"/>
  <c r="E15" i="3" s="1"/>
  <c r="E17" i="3" s="1"/>
  <c r="E19" i="3" s="1"/>
  <c r="F25" i="3" s="1"/>
  <c r="G18" i="3" l="1"/>
  <c r="G19" i="3" s="1"/>
  <c r="H18" i="3"/>
  <c r="H19" i="3" s="1"/>
  <c r="G25" i="3"/>
  <c r="Q23" i="3"/>
  <c r="P23" i="3"/>
  <c r="P12" i="3"/>
  <c r="P13" i="3" s="1"/>
  <c r="P15" i="3" s="1"/>
  <c r="H25" i="3" l="1"/>
  <c r="I25" i="3" l="1"/>
  <c r="I16" i="3"/>
  <c r="I17" i="3" s="1"/>
  <c r="I18" i="3" s="1"/>
  <c r="I19" i="3" s="1"/>
  <c r="J16" i="3" l="1"/>
  <c r="J17" i="3" s="1"/>
  <c r="J18" i="3" s="1"/>
  <c r="J19" i="3" s="1"/>
  <c r="J25" i="3"/>
  <c r="K16" i="3" l="1"/>
  <c r="K17" i="3" s="1"/>
  <c r="K18" i="3" s="1"/>
  <c r="K19" i="3" s="1"/>
  <c r="K25" i="3"/>
  <c r="L25" i="3" l="1"/>
  <c r="L16" i="3"/>
  <c r="L17" i="3" s="1"/>
  <c r="L18" i="3" s="1"/>
  <c r="L19" i="3" s="1"/>
  <c r="M25" i="3" l="1"/>
  <c r="M16" i="3"/>
  <c r="M17" i="3" s="1"/>
  <c r="M18" i="3" s="1"/>
  <c r="M19" i="3" s="1"/>
  <c r="N16" i="3" l="1"/>
  <c r="N17" i="3" s="1"/>
  <c r="N18" i="3" s="1"/>
  <c r="N19" i="3" s="1"/>
  <c r="N25" i="3"/>
  <c r="O25" i="3" l="1"/>
  <c r="O16" i="3"/>
  <c r="O17" i="3" s="1"/>
  <c r="O18" i="3" s="1"/>
  <c r="O19" i="3" s="1"/>
  <c r="P16" i="3" l="1"/>
  <c r="P17" i="3" s="1"/>
  <c r="P18" i="3" s="1"/>
  <c r="P19" i="3" s="1"/>
  <c r="P25" i="3"/>
  <c r="Q25" i="3" l="1"/>
  <c r="Q16" i="3"/>
  <c r="Q17" i="3" s="1"/>
  <c r="Q18" i="3" s="1"/>
  <c r="Q19" i="3" s="1"/>
  <c r="U22" i="3" s="1"/>
  <c r="U24" i="3" s="1"/>
  <c r="U25" i="3" s="1"/>
  <c r="E2" i="3" l="1"/>
  <c r="F2" i="3" s="1"/>
  <c r="G2" i="3" s="1"/>
  <c r="H2" i="3" s="1"/>
  <c r="I2" i="3" s="1"/>
  <c r="J2" i="3" s="1"/>
  <c r="K2" i="3" s="1"/>
  <c r="L2" i="3" s="1"/>
  <c r="M2" i="3" s="1"/>
  <c r="N2" i="3" s="1"/>
  <c r="O2" i="3" s="1"/>
  <c r="P2" i="3" s="1"/>
  <c r="Q2" i="3" s="1"/>
  <c r="R2" i="3" s="1"/>
  <c r="S2" i="3" s="1"/>
  <c r="T2" i="3" s="1"/>
  <c r="U2" i="3" s="1"/>
  <c r="V2" i="3" s="1"/>
  <c r="W2" i="3" s="1"/>
  <c r="X2" i="3" s="1"/>
  <c r="Y2" i="3" s="1"/>
  <c r="Z2" i="3" s="1"/>
  <c r="AA2" i="3" s="1"/>
  <c r="D2" i="3"/>
  <c r="M6" i="1"/>
  <c r="M4" i="1"/>
  <c r="M7" i="1" s="1"/>
</calcChain>
</file>

<file path=xl/sharedStrings.xml><?xml version="1.0" encoding="utf-8"?>
<sst xmlns="http://schemas.openxmlformats.org/spreadsheetml/2006/main" count="52" uniqueCount="45">
  <si>
    <t>Price</t>
  </si>
  <si>
    <t>Shares</t>
  </si>
  <si>
    <t>MC</t>
  </si>
  <si>
    <t>obefazimod</t>
  </si>
  <si>
    <t>Main</t>
  </si>
  <si>
    <t>Brand</t>
  </si>
  <si>
    <t>Generic</t>
  </si>
  <si>
    <t>Indication</t>
  </si>
  <si>
    <t>Cash</t>
  </si>
  <si>
    <t>Debt</t>
  </si>
  <si>
    <t>EV</t>
  </si>
  <si>
    <t>Q424</t>
  </si>
  <si>
    <t>Skyrizi</t>
  </si>
  <si>
    <t>Rinvoq</t>
  </si>
  <si>
    <t>Entyvio</t>
  </si>
  <si>
    <t>Patients</t>
  </si>
  <si>
    <t>Share</t>
  </si>
  <si>
    <t>Revenue</t>
  </si>
  <si>
    <t>COGS</t>
  </si>
  <si>
    <t>Gross Profit</t>
  </si>
  <si>
    <t>SG&amp;A</t>
  </si>
  <si>
    <t>Operating Profit</t>
  </si>
  <si>
    <t>Interest Income</t>
  </si>
  <si>
    <t>Pretax Income</t>
  </si>
  <si>
    <t>Taxes</t>
  </si>
  <si>
    <t>Net Income</t>
  </si>
  <si>
    <t>EPS</t>
  </si>
  <si>
    <t>Revenue y/y</t>
  </si>
  <si>
    <t>Discount</t>
  </si>
  <si>
    <t>NPV</t>
  </si>
  <si>
    <t>ROIC</t>
  </si>
  <si>
    <t>Entyvio USD</t>
  </si>
  <si>
    <t>Chemistry</t>
  </si>
  <si>
    <t>Upside</t>
  </si>
  <si>
    <t>ABX464</t>
  </si>
  <si>
    <t>Ulcerative Colitis (UC); approximately 776,000 patients in the United States</t>
  </si>
  <si>
    <t>Mechanism of Action (MOA)</t>
  </si>
  <si>
    <t>miR-124Selective upregulation of microRNA miR-124, which downregulates inflammatory pathways (including TNF-α and IL-6) and promotes mucosal healing through IL-22 production.</t>
  </si>
  <si>
    <t>Intellectual Property (IP)</t>
  </si>
  <si>
    <t>US Patent 10,017,498 (composition of matter)</t>
  </si>
  <si>
    <t>US Patent 10,435,370 – filed 07/17/2015, issued 10/08/2019; expires 2035 (+3.5 years Hatch-Waxman extension possible)</t>
  </si>
  <si>
    <t>US Patent 11,649,211 – filed 12/07/2020, issued 05/16/2023; expires 2040</t>
  </si>
  <si>
    <t>Small molecule derived from a chloroquine/quinoline scaffold.</t>
  </si>
  <si>
    <t>Scientific Background</t>
  </si>
  <si>
    <t>The anti-HIV candidate ABX464 has been shown to dampen intestinal inflammation by triggering IL-22 production in activated macrophages (Chebli et al., 2017).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</si>
</sst>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u/>
      <sz val="11"/>
      <color theme="10"/>
      <name val="Aptos Narrow"/>
      <family val="2"/>
      <scheme val="minor"/>
    </font>
    <font>
      <sz val="10"/>
      <color theme="1"/>
      <name val="Arial"/>
      <family val="2"/>
    </font>
    <font>
      <i/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0" fontId="4" fillId="0" borderId="0" xfId="0" applyFont="1"/>
    <xf numFmtId="3" fontId="5" fillId="0" borderId="0" xfId="0" applyNumberFormat="1" applyFont="1"/>
    <xf numFmtId="0" fontId="5" fillId="0" borderId="0" xfId="0" applyFont="1"/>
    <xf numFmtId="0" fontId="6" fillId="0" borderId="0" xfId="0" applyFont="1"/>
    <xf numFmtId="3" fontId="6" fillId="0" borderId="0" xfId="0" applyNumberFormat="1" applyFont="1"/>
    <xf numFmtId="3" fontId="4" fillId="0" borderId="0" xfId="0" applyNumberFormat="1" applyFont="1"/>
    <xf numFmtId="3" fontId="7" fillId="0" borderId="0" xfId="0" applyNumberFormat="1" applyFont="1"/>
    <xf numFmtId="0" fontId="8" fillId="0" borderId="0" xfId="1" applyFont="1"/>
    <xf numFmtId="0" fontId="4" fillId="0" borderId="0" xfId="0" applyFont="1" applyAlignment="1">
      <alignment horizontal="right"/>
    </xf>
    <xf numFmtId="0" fontId="2" fillId="0" borderId="0" xfId="0" applyFont="1"/>
    <xf numFmtId="0" fontId="2" fillId="0" borderId="0" xfId="0" quotePrefix="1" applyFont="1"/>
    <xf numFmtId="0" fontId="9" fillId="0" borderId="0" xfId="0" applyFont="1"/>
    <xf numFmtId="0" fontId="1" fillId="0" borderId="0" xfId="0" applyFont="1"/>
    <xf numFmtId="3" fontId="1" fillId="0" borderId="0" xfId="0" applyNumberFormat="1" applyFont="1"/>
    <xf numFmtId="9" fontId="1" fillId="0" borderId="0" xfId="0" applyNumberFormat="1" applyFont="1"/>
    <xf numFmtId="4" fontId="1" fillId="0" borderId="0" xfId="0" applyNumberFormat="1" applyFont="1"/>
    <xf numFmtId="3" fontId="1" fillId="0" borderId="0" xfId="0" applyNumberFormat="1" applyFon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314325</xdr:colOff>
      <xdr:row>12</xdr:row>
      <xdr:rowOff>133862</xdr:rowOff>
    </xdr:from>
    <xdr:to>
      <xdr:col>7</xdr:col>
      <xdr:colOff>339284</xdr:colOff>
      <xdr:row>38</xdr:row>
      <xdr:rowOff>70405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68C1834-C928-F8E6-FE1E-C34CD00F0C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4325" y="2076962"/>
          <a:ext cx="5339909" cy="414659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441746</xdr:colOff>
      <xdr:row>14</xdr:row>
      <xdr:rowOff>119149</xdr:rowOff>
    </xdr:from>
    <xdr:to>
      <xdr:col>14</xdr:col>
      <xdr:colOff>404452</xdr:colOff>
      <xdr:row>23</xdr:row>
      <xdr:rowOff>76199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AF5F59C-A7EC-24F5-6602-327872F043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66296" y="2386099"/>
          <a:ext cx="3620306" cy="1414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2F7E9-E7AD-459C-ABE3-152BF08D3904}">
  <dimension ref="L2:N7"/>
  <sheetViews>
    <sheetView zoomScaleNormal="100" workbookViewId="0">
      <selection activeCell="P31" sqref="P31"/>
    </sheetView>
  </sheetViews>
  <sheetFormatPr defaultRowHeight="12.75" x14ac:dyDescent="0.2"/>
  <cols>
    <col min="1" max="1" width="9.140625" style="1"/>
    <col min="2" max="2" width="11.42578125" style="1" bestFit="1" customWidth="1"/>
    <col min="3" max="12" width="9.140625" style="1"/>
    <col min="13" max="13" width="12" style="1" bestFit="1" customWidth="1"/>
    <col min="14" max="16384" width="9.140625" style="1"/>
  </cols>
  <sheetData>
    <row r="2" spans="12:14" x14ac:dyDescent="0.2">
      <c r="L2" s="1" t="s">
        <v>0</v>
      </c>
      <c r="M2" s="6">
        <v>100</v>
      </c>
    </row>
    <row r="3" spans="12:14" x14ac:dyDescent="0.2">
      <c r="L3" s="1" t="s">
        <v>1</v>
      </c>
      <c r="M3" s="6">
        <v>63.347836999999998</v>
      </c>
      <c r="N3" s="9" t="s">
        <v>11</v>
      </c>
    </row>
    <row r="4" spans="12:14" x14ac:dyDescent="0.2">
      <c r="L4" s="1" t="s">
        <v>2</v>
      </c>
      <c r="M4" s="6">
        <f>+M2*M3</f>
        <v>6334.7837</v>
      </c>
    </row>
    <row r="5" spans="12:14" x14ac:dyDescent="0.2">
      <c r="L5" s="1" t="s">
        <v>8</v>
      </c>
      <c r="M5" s="6">
        <v>144</v>
      </c>
      <c r="N5" s="9" t="s">
        <v>11</v>
      </c>
    </row>
    <row r="6" spans="12:14" x14ac:dyDescent="0.2">
      <c r="L6" s="1" t="s">
        <v>9</v>
      </c>
      <c r="M6" s="6">
        <f>29.056+23.37+22.195+21.574</f>
        <v>96.195000000000007</v>
      </c>
      <c r="N6" s="9" t="s">
        <v>11</v>
      </c>
    </row>
    <row r="7" spans="12:14" x14ac:dyDescent="0.2">
      <c r="L7" s="1" t="s">
        <v>10</v>
      </c>
      <c r="M7" s="6">
        <f>+M4-M5+M6</f>
        <v>6286.9786999999997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41EC6-85F5-44A4-B95A-FF645D996B10}">
  <dimension ref="A1:AA25"/>
  <sheetViews>
    <sheetView tabSelected="1" zoomScaleNormal="100" workbookViewId="0">
      <pane xSplit="2" ySplit="2" topLeftCell="I3" activePane="bottomRight" state="frozen"/>
      <selection pane="topRight" activeCell="C1" sqref="C1"/>
      <selection pane="bottomLeft" activeCell="A3" sqref="A3"/>
      <selection pane="bottomRight" activeCell="U25" sqref="U25"/>
    </sheetView>
  </sheetViews>
  <sheetFormatPr defaultRowHeight="12.75" x14ac:dyDescent="0.2"/>
  <cols>
    <col min="1" max="1" width="5.42578125" style="13" bestFit="1" customWidth="1"/>
    <col min="2" max="2" width="15" style="13" bestFit="1" customWidth="1"/>
    <col min="3" max="4" width="9.140625" style="13"/>
    <col min="5" max="15" width="8.85546875" style="13" customWidth="1"/>
    <col min="16" max="20" width="9.140625" style="13"/>
    <col min="21" max="21" width="11.140625" style="13" bestFit="1" customWidth="1"/>
    <col min="22" max="16384" width="9.140625" style="13"/>
  </cols>
  <sheetData>
    <row r="1" spans="1:27" x14ac:dyDescent="0.2">
      <c r="A1" s="8" t="s">
        <v>4</v>
      </c>
    </row>
    <row r="2" spans="1:27" x14ac:dyDescent="0.2">
      <c r="C2" s="13">
        <v>2025</v>
      </c>
      <c r="D2" s="13">
        <f>+C2+1</f>
        <v>2026</v>
      </c>
      <c r="E2" s="13">
        <f t="shared" ref="E2:AA2" si="0">+D2+1</f>
        <v>2027</v>
      </c>
      <c r="F2" s="13">
        <f t="shared" si="0"/>
        <v>2028</v>
      </c>
      <c r="G2" s="13">
        <f t="shared" si="0"/>
        <v>2029</v>
      </c>
      <c r="H2" s="13">
        <f t="shared" si="0"/>
        <v>2030</v>
      </c>
      <c r="I2" s="13">
        <f t="shared" si="0"/>
        <v>2031</v>
      </c>
      <c r="J2" s="13">
        <f t="shared" si="0"/>
        <v>2032</v>
      </c>
      <c r="K2" s="13">
        <f t="shared" si="0"/>
        <v>2033</v>
      </c>
      <c r="L2" s="13">
        <f t="shared" si="0"/>
        <v>2034</v>
      </c>
      <c r="M2" s="13">
        <f t="shared" si="0"/>
        <v>2035</v>
      </c>
      <c r="N2" s="13">
        <f t="shared" si="0"/>
        <v>2036</v>
      </c>
      <c r="O2" s="13">
        <f t="shared" si="0"/>
        <v>2037</v>
      </c>
      <c r="P2" s="13">
        <f t="shared" si="0"/>
        <v>2038</v>
      </c>
      <c r="Q2" s="13">
        <f t="shared" si="0"/>
        <v>2039</v>
      </c>
      <c r="R2" s="13">
        <f t="shared" si="0"/>
        <v>2040</v>
      </c>
      <c r="S2" s="13">
        <f t="shared" si="0"/>
        <v>2041</v>
      </c>
      <c r="T2" s="13">
        <f t="shared" si="0"/>
        <v>2042</v>
      </c>
      <c r="U2" s="13">
        <f t="shared" si="0"/>
        <v>2043</v>
      </c>
      <c r="V2" s="13">
        <f t="shared" si="0"/>
        <v>2044</v>
      </c>
      <c r="W2" s="13">
        <f t="shared" si="0"/>
        <v>2045</v>
      </c>
      <c r="X2" s="13">
        <f t="shared" si="0"/>
        <v>2046</v>
      </c>
      <c r="Y2" s="13">
        <f t="shared" si="0"/>
        <v>2047</v>
      </c>
      <c r="Z2" s="13">
        <f t="shared" si="0"/>
        <v>2048</v>
      </c>
      <c r="AA2" s="13">
        <f t="shared" si="0"/>
        <v>2049</v>
      </c>
    </row>
    <row r="3" spans="1:27" s="2" customFormat="1" x14ac:dyDescent="0.2">
      <c r="B3" s="14" t="s">
        <v>12</v>
      </c>
      <c r="E3" s="2">
        <v>355</v>
      </c>
      <c r="F3" s="2">
        <v>1590</v>
      </c>
      <c r="G3" s="2">
        <v>2939</v>
      </c>
      <c r="H3" s="2">
        <v>5165</v>
      </c>
      <c r="I3" s="2">
        <v>7763</v>
      </c>
      <c r="J3" s="2">
        <v>11718</v>
      </c>
    </row>
    <row r="4" spans="1:27" s="2" customFormat="1" x14ac:dyDescent="0.2">
      <c r="B4" s="14" t="s">
        <v>13</v>
      </c>
      <c r="E4" s="2">
        <v>47</v>
      </c>
      <c r="F4" s="2">
        <v>731</v>
      </c>
      <c r="G4" s="2">
        <v>1651</v>
      </c>
      <c r="H4" s="2">
        <v>2522</v>
      </c>
      <c r="I4" s="2">
        <v>3969</v>
      </c>
      <c r="J4" s="2">
        <v>5971</v>
      </c>
    </row>
    <row r="5" spans="1:27" s="3" customFormat="1" x14ac:dyDescent="0.2">
      <c r="B5" s="13" t="s">
        <v>14</v>
      </c>
      <c r="E5" s="17">
        <v>27800</v>
      </c>
      <c r="F5" s="17">
        <v>86200</v>
      </c>
      <c r="G5" s="17">
        <v>143200</v>
      </c>
      <c r="H5" s="14">
        <v>201400</v>
      </c>
      <c r="I5" s="14">
        <v>269200</v>
      </c>
      <c r="J5" s="14">
        <v>347200</v>
      </c>
      <c r="K5" s="14">
        <v>429281</v>
      </c>
      <c r="L5" s="7">
        <v>521800</v>
      </c>
      <c r="M5" s="7">
        <v>702800</v>
      </c>
      <c r="N5" s="7">
        <v>800900</v>
      </c>
      <c r="O5" s="14">
        <v>914000</v>
      </c>
    </row>
    <row r="6" spans="1:27" x14ac:dyDescent="0.2">
      <c r="B6" s="13" t="s">
        <v>31</v>
      </c>
      <c r="E6" s="14">
        <f>+E5/100</f>
        <v>278</v>
      </c>
      <c r="F6" s="14">
        <f>+F5/100</f>
        <v>862</v>
      </c>
      <c r="G6" s="14">
        <f>+G5/110</f>
        <v>1301.8181818181818</v>
      </c>
      <c r="H6" s="14">
        <f>+H5/110</f>
        <v>1830.909090909091</v>
      </c>
      <c r="I6" s="14">
        <f>+I5/120</f>
        <v>2243.3333333333335</v>
      </c>
      <c r="J6" s="14">
        <f>+J5/120</f>
        <v>2893.3333333333335</v>
      </c>
      <c r="K6" s="14">
        <f>+K5/130</f>
        <v>3302.1615384615384</v>
      </c>
      <c r="L6" s="14">
        <f>+L5/130</f>
        <v>4013.8461538461538</v>
      </c>
      <c r="M6" s="14">
        <f>+M5/140</f>
        <v>5020</v>
      </c>
      <c r="N6" s="14">
        <f>+N5/140</f>
        <v>5720.7142857142853</v>
      </c>
      <c r="O6" s="14">
        <f>+O5/140</f>
        <v>6528.5714285714284</v>
      </c>
    </row>
    <row r="8" spans="1:27" x14ac:dyDescent="0.2">
      <c r="B8" s="13" t="s">
        <v>15</v>
      </c>
    </row>
    <row r="9" spans="1:27" x14ac:dyDescent="0.2">
      <c r="B9" s="13" t="s">
        <v>0</v>
      </c>
    </row>
    <row r="10" spans="1:27" x14ac:dyDescent="0.2">
      <c r="B10" s="13" t="s">
        <v>16</v>
      </c>
    </row>
    <row r="11" spans="1:27" s="4" customFormat="1" x14ac:dyDescent="0.2">
      <c r="B11" s="4" t="s">
        <v>17</v>
      </c>
      <c r="E11" s="5">
        <f>+F4/2</f>
        <v>365.5</v>
      </c>
      <c r="F11" s="5">
        <f>+G4/2</f>
        <v>825.5</v>
      </c>
      <c r="G11" s="5">
        <f>+H4/2</f>
        <v>1261</v>
      </c>
      <c r="H11" s="5">
        <f>+I4/2</f>
        <v>1984.5</v>
      </c>
      <c r="I11" s="5">
        <f>+J4/2</f>
        <v>2985.5</v>
      </c>
      <c r="J11" s="5">
        <f>+I11*1.1</f>
        <v>3284.05</v>
      </c>
      <c r="K11" s="5">
        <f>+J11*1.1</f>
        <v>3612.4550000000004</v>
      </c>
      <c r="L11" s="5">
        <f>+K11*1.1</f>
        <v>3973.7005000000008</v>
      </c>
      <c r="M11" s="5">
        <f>+L11*1.05</f>
        <v>4172.3855250000006</v>
      </c>
      <c r="N11" s="5">
        <f>+M11*1.05</f>
        <v>4381.004801250001</v>
      </c>
      <c r="O11" s="5">
        <f>+N11*1.05</f>
        <v>4600.0550413125011</v>
      </c>
      <c r="P11" s="5">
        <f>+O11*1.05</f>
        <v>4830.057793378126</v>
      </c>
      <c r="Q11" s="5">
        <f>+P11*1.05</f>
        <v>5071.5606830470324</v>
      </c>
    </row>
    <row r="12" spans="1:27" x14ac:dyDescent="0.2">
      <c r="B12" s="13" t="s">
        <v>18</v>
      </c>
      <c r="E12" s="14">
        <f>+E11*0.1</f>
        <v>36.550000000000004</v>
      </c>
      <c r="F12" s="14">
        <f t="shared" ref="F12:J12" si="1">+F11*0.1</f>
        <v>82.550000000000011</v>
      </c>
      <c r="G12" s="14">
        <f t="shared" si="1"/>
        <v>126.10000000000001</v>
      </c>
      <c r="H12" s="14">
        <f t="shared" si="1"/>
        <v>198.45000000000002</v>
      </c>
      <c r="I12" s="14">
        <f t="shared" si="1"/>
        <v>298.55</v>
      </c>
      <c r="J12" s="14">
        <f t="shared" si="1"/>
        <v>328.40500000000003</v>
      </c>
      <c r="K12" s="14">
        <f t="shared" ref="K12" si="2">+K11*0.1</f>
        <v>361.24550000000005</v>
      </c>
      <c r="L12" s="14">
        <f t="shared" ref="L12" si="3">+L11*0.1</f>
        <v>397.37005000000011</v>
      </c>
      <c r="M12" s="14">
        <f t="shared" ref="M12" si="4">+M11*0.1</f>
        <v>417.23855250000008</v>
      </c>
      <c r="N12" s="14">
        <f t="shared" ref="N12" si="5">+N11*0.1</f>
        <v>438.1004801250001</v>
      </c>
      <c r="O12" s="14">
        <f t="shared" ref="O12" si="6">+O11*0.1</f>
        <v>460.00550413125012</v>
      </c>
      <c r="P12" s="14">
        <f t="shared" ref="P12" si="7">+P11*0.1</f>
        <v>483.00577933781261</v>
      </c>
      <c r="Q12" s="14">
        <f t="shared" ref="Q12" si="8">+Q11*0.1</f>
        <v>507.15606830470324</v>
      </c>
    </row>
    <row r="13" spans="1:27" x14ac:dyDescent="0.2">
      <c r="B13" s="13" t="s">
        <v>19</v>
      </c>
      <c r="E13" s="14">
        <f>+E11-E12</f>
        <v>328.95</v>
      </c>
      <c r="F13" s="14">
        <f>+F11-F12</f>
        <v>742.95</v>
      </c>
      <c r="G13" s="14">
        <f t="shared" ref="G13:J13" si="9">+G11-G12</f>
        <v>1134.9000000000001</v>
      </c>
      <c r="H13" s="14">
        <f t="shared" si="9"/>
        <v>1786.05</v>
      </c>
      <c r="I13" s="14">
        <f t="shared" si="9"/>
        <v>2686.95</v>
      </c>
      <c r="J13" s="14">
        <f t="shared" si="9"/>
        <v>2955.645</v>
      </c>
      <c r="K13" s="14">
        <f t="shared" ref="K13" si="10">+K11-K12</f>
        <v>3251.2095000000004</v>
      </c>
      <c r="L13" s="14">
        <f t="shared" ref="L13" si="11">+L11-L12</f>
        <v>3576.3304500000008</v>
      </c>
      <c r="M13" s="14">
        <f t="shared" ref="M13" si="12">+M11-M12</f>
        <v>3755.1469725000006</v>
      </c>
      <c r="N13" s="14">
        <f t="shared" ref="N13" si="13">+N11-N12</f>
        <v>3942.9043211250009</v>
      </c>
      <c r="O13" s="14">
        <f t="shared" ref="O13" si="14">+O11-O12</f>
        <v>4140.0495371812513</v>
      </c>
      <c r="P13" s="14">
        <f t="shared" ref="P13" si="15">+P11-P12</f>
        <v>4347.0520140403132</v>
      </c>
      <c r="Q13" s="14">
        <f t="shared" ref="Q13" si="16">+Q11-Q12</f>
        <v>4564.4046147423287</v>
      </c>
    </row>
    <row r="14" spans="1:27" x14ac:dyDescent="0.2">
      <c r="B14" s="13" t="s">
        <v>20</v>
      </c>
      <c r="E14" s="13">
        <v>500</v>
      </c>
      <c r="F14" s="13">
        <v>300</v>
      </c>
      <c r="G14" s="13">
        <f>+F14</f>
        <v>300</v>
      </c>
      <c r="H14" s="13">
        <f>+G14</f>
        <v>300</v>
      </c>
      <c r="I14" s="13">
        <f>+H14</f>
        <v>300</v>
      </c>
      <c r="J14" s="13">
        <f>+I14</f>
        <v>300</v>
      </c>
      <c r="K14" s="13">
        <f t="shared" ref="K14:Q14" si="17">+J14</f>
        <v>300</v>
      </c>
      <c r="L14" s="13">
        <f t="shared" si="17"/>
        <v>300</v>
      </c>
      <c r="M14" s="13">
        <f t="shared" si="17"/>
        <v>300</v>
      </c>
      <c r="N14" s="13">
        <f t="shared" si="17"/>
        <v>300</v>
      </c>
      <c r="O14" s="13">
        <f t="shared" si="17"/>
        <v>300</v>
      </c>
      <c r="P14" s="13">
        <f t="shared" si="17"/>
        <v>300</v>
      </c>
      <c r="Q14" s="13">
        <f t="shared" si="17"/>
        <v>300</v>
      </c>
    </row>
    <row r="15" spans="1:27" x14ac:dyDescent="0.2">
      <c r="B15" s="13" t="s">
        <v>21</v>
      </c>
      <c r="E15" s="14">
        <f>+E13-E14</f>
        <v>-171.05</v>
      </c>
      <c r="F15" s="14">
        <f t="shared" ref="F15:J15" si="18">+F13-F14</f>
        <v>442.95000000000005</v>
      </c>
      <c r="G15" s="14">
        <f t="shared" si="18"/>
        <v>834.90000000000009</v>
      </c>
      <c r="H15" s="14">
        <f t="shared" si="18"/>
        <v>1486.05</v>
      </c>
      <c r="I15" s="14">
        <f t="shared" si="18"/>
        <v>2386.9499999999998</v>
      </c>
      <c r="J15" s="14">
        <f t="shared" si="18"/>
        <v>2655.645</v>
      </c>
      <c r="K15" s="14">
        <f t="shared" ref="K15" si="19">+K13-K14</f>
        <v>2951.2095000000004</v>
      </c>
      <c r="L15" s="14">
        <f t="shared" ref="L15" si="20">+L13-L14</f>
        <v>3276.3304500000008</v>
      </c>
      <c r="M15" s="14">
        <f t="shared" ref="M15" si="21">+M13-M14</f>
        <v>3455.1469725000006</v>
      </c>
      <c r="N15" s="14">
        <f t="shared" ref="N15" si="22">+N13-N14</f>
        <v>3642.9043211250009</v>
      </c>
      <c r="O15" s="14">
        <f t="shared" ref="O15" si="23">+O13-O14</f>
        <v>3840.0495371812513</v>
      </c>
      <c r="P15" s="14">
        <f t="shared" ref="P15" si="24">+P13-P14</f>
        <v>4047.0520140403132</v>
      </c>
      <c r="Q15" s="14">
        <f t="shared" ref="Q15" si="25">+Q13-Q14</f>
        <v>4264.4046147423287</v>
      </c>
    </row>
    <row r="16" spans="1:27" x14ac:dyDescent="0.2">
      <c r="B16" s="13" t="s">
        <v>22</v>
      </c>
      <c r="E16" s="13">
        <v>0</v>
      </c>
      <c r="F16" s="13">
        <v>0</v>
      </c>
      <c r="G16" s="13">
        <v>0</v>
      </c>
      <c r="H16" s="13">
        <v>0</v>
      </c>
      <c r="I16" s="14">
        <f t="shared" ref="I16:Q16" si="26">+H25*$U$23</f>
        <v>19.194600000000005</v>
      </c>
      <c r="J16" s="14">
        <f t="shared" si="26"/>
        <v>54.8598</v>
      </c>
      <c r="K16" s="14">
        <f t="shared" si="26"/>
        <v>112.60727039999999</v>
      </c>
      <c r="L16" s="14">
        <f t="shared" si="26"/>
        <v>177.65938559999998</v>
      </c>
      <c r="M16" s="14">
        <f t="shared" si="26"/>
        <v>251.19098808959998</v>
      </c>
      <c r="N16" s="14">
        <f t="shared" si="26"/>
        <v>334.08674414399997</v>
      </c>
      <c r="O16" s="14">
        <f t="shared" si="26"/>
        <v>423.03885519815043</v>
      </c>
      <c r="P16" s="14">
        <f t="shared" si="26"/>
        <v>518.48664076460648</v>
      </c>
      <c r="Q16" s="14">
        <f t="shared" si="26"/>
        <v>620.800762181712</v>
      </c>
    </row>
    <row r="17" spans="2:21" s="14" customFormat="1" x14ac:dyDescent="0.2">
      <c r="B17" s="14" t="s">
        <v>23</v>
      </c>
      <c r="E17" s="14">
        <f>+E15+E16</f>
        <v>-171.05</v>
      </c>
      <c r="F17" s="14">
        <f t="shared" ref="F17:J17" si="27">+F15+F16</f>
        <v>442.95000000000005</v>
      </c>
      <c r="G17" s="14">
        <f t="shared" si="27"/>
        <v>834.90000000000009</v>
      </c>
      <c r="H17" s="14">
        <f t="shared" si="27"/>
        <v>1486.05</v>
      </c>
      <c r="I17" s="14">
        <f t="shared" si="27"/>
        <v>2406.1445999999996</v>
      </c>
      <c r="J17" s="14">
        <f t="shared" si="27"/>
        <v>2710.5048000000002</v>
      </c>
      <c r="K17" s="14">
        <f t="shared" ref="K17" si="28">+K15+K16</f>
        <v>3063.8167704000002</v>
      </c>
      <c r="L17" s="14">
        <f t="shared" ref="L17" si="29">+L15+L16</f>
        <v>3453.9898356000008</v>
      </c>
      <c r="M17" s="14">
        <f t="shared" ref="M17" si="30">+M15+M16</f>
        <v>3706.3379605896007</v>
      </c>
      <c r="N17" s="14">
        <f t="shared" ref="N17" si="31">+N15+N16</f>
        <v>3976.991065269001</v>
      </c>
      <c r="O17" s="14">
        <f t="shared" ref="O17" si="32">+O15+O16</f>
        <v>4263.0883923794017</v>
      </c>
      <c r="P17" s="14">
        <f t="shared" ref="P17" si="33">+P15+P16</f>
        <v>4565.53865480492</v>
      </c>
      <c r="Q17" s="14">
        <f t="shared" ref="Q17" si="34">+Q15+Q16</f>
        <v>4885.205376924041</v>
      </c>
    </row>
    <row r="18" spans="2:21" s="14" customFormat="1" x14ac:dyDescent="0.2">
      <c r="B18" s="14" t="s">
        <v>24</v>
      </c>
      <c r="E18" s="14">
        <v>0</v>
      </c>
      <c r="F18" s="14">
        <v>0</v>
      </c>
      <c r="G18" s="14">
        <f>+G17*0.2</f>
        <v>166.98000000000002</v>
      </c>
      <c r="H18" s="14">
        <f t="shared" ref="H18:J18" si="35">+H17*0.2</f>
        <v>297.20999999999998</v>
      </c>
      <c r="I18" s="14">
        <f t="shared" si="35"/>
        <v>481.22891999999996</v>
      </c>
      <c r="J18" s="14">
        <f t="shared" si="35"/>
        <v>542.1009600000001</v>
      </c>
      <c r="K18" s="14">
        <f t="shared" ref="K18" si="36">+K17*0.2</f>
        <v>612.76335408000011</v>
      </c>
      <c r="L18" s="14">
        <f t="shared" ref="L18" si="37">+L17*0.2</f>
        <v>690.79796712000018</v>
      </c>
      <c r="M18" s="14">
        <f t="shared" ref="M18" si="38">+M17*0.2</f>
        <v>741.26759211792023</v>
      </c>
      <c r="N18" s="14">
        <f t="shared" ref="N18" si="39">+N17*0.2</f>
        <v>795.39821305380019</v>
      </c>
      <c r="O18" s="14">
        <f t="shared" ref="O18" si="40">+O17*0.2</f>
        <v>852.61767847588044</v>
      </c>
      <c r="P18" s="14">
        <f t="shared" ref="P18" si="41">+P17*0.2</f>
        <v>913.1077309609841</v>
      </c>
      <c r="Q18" s="14">
        <f t="shared" ref="Q18" si="42">+Q17*0.2</f>
        <v>977.04107538480821</v>
      </c>
    </row>
    <row r="19" spans="2:21" s="14" customFormat="1" x14ac:dyDescent="0.2">
      <c r="B19" s="14" t="s">
        <v>25</v>
      </c>
      <c r="C19" s="14">
        <v>-100</v>
      </c>
      <c r="D19" s="14">
        <v>-200</v>
      </c>
      <c r="E19" s="14">
        <f>+E17-E18</f>
        <v>-171.05</v>
      </c>
      <c r="F19" s="14">
        <f t="shared" ref="F19:J19" si="43">+F17-F18</f>
        <v>442.95000000000005</v>
      </c>
      <c r="G19" s="14">
        <f t="shared" si="43"/>
        <v>667.92000000000007</v>
      </c>
      <c r="H19" s="14">
        <f t="shared" si="43"/>
        <v>1188.8399999999999</v>
      </c>
      <c r="I19" s="14">
        <f t="shared" si="43"/>
        <v>1924.9156799999996</v>
      </c>
      <c r="J19" s="14">
        <f t="shared" si="43"/>
        <v>2168.4038399999999</v>
      </c>
      <c r="K19" s="14">
        <f t="shared" ref="K19" si="44">+K17-K18</f>
        <v>2451.05341632</v>
      </c>
      <c r="L19" s="14">
        <f t="shared" ref="L19" si="45">+L17-L18</f>
        <v>2763.1918684800007</v>
      </c>
      <c r="M19" s="14">
        <f t="shared" ref="M19" si="46">+M17-M18</f>
        <v>2965.0703684716805</v>
      </c>
      <c r="N19" s="14">
        <f t="shared" ref="N19" si="47">+N17-N18</f>
        <v>3181.5928522152008</v>
      </c>
      <c r="O19" s="14">
        <f t="shared" ref="O19" si="48">+O17-O18</f>
        <v>3410.4707139035213</v>
      </c>
      <c r="P19" s="14">
        <f t="shared" ref="P19" si="49">+P17-P18</f>
        <v>3652.4309238439359</v>
      </c>
      <c r="Q19" s="14">
        <f t="shared" ref="Q19" si="50">+Q17-Q18</f>
        <v>3908.1643015392328</v>
      </c>
    </row>
    <row r="20" spans="2:21" x14ac:dyDescent="0.2">
      <c r="B20" s="13" t="s">
        <v>26</v>
      </c>
    </row>
    <row r="21" spans="2:21" x14ac:dyDescent="0.2">
      <c r="B21" s="13" t="s">
        <v>1</v>
      </c>
      <c r="T21" s="13" t="s">
        <v>28</v>
      </c>
      <c r="U21" s="15">
        <v>0.09</v>
      </c>
    </row>
    <row r="22" spans="2:21" x14ac:dyDescent="0.2">
      <c r="T22" s="13" t="s">
        <v>29</v>
      </c>
      <c r="U22" s="14">
        <f>NPV(U21,C19:Q19)</f>
        <v>11060.151667039718</v>
      </c>
    </row>
    <row r="23" spans="2:21" x14ac:dyDescent="0.2">
      <c r="B23" s="13" t="s">
        <v>27</v>
      </c>
      <c r="F23" s="15">
        <f t="shared" ref="F23:I23" si="51">+F11/E11-1</f>
        <v>1.2585499316005473</v>
      </c>
      <c r="G23" s="15">
        <f t="shared" si="51"/>
        <v>0.52755905511811019</v>
      </c>
      <c r="H23" s="15">
        <f t="shared" si="51"/>
        <v>0.57375099127676443</v>
      </c>
      <c r="I23" s="15">
        <f t="shared" si="51"/>
        <v>0.50440917107583783</v>
      </c>
      <c r="J23" s="15">
        <f>+J11/I11-1</f>
        <v>0.10000000000000009</v>
      </c>
      <c r="K23" s="15">
        <f t="shared" ref="K23:Q23" si="52">+K11/J11-1</f>
        <v>0.10000000000000009</v>
      </c>
      <c r="L23" s="15">
        <f t="shared" si="52"/>
        <v>0.10000000000000009</v>
      </c>
      <c r="M23" s="15">
        <f t="shared" si="52"/>
        <v>4.9999999999999822E-2</v>
      </c>
      <c r="N23" s="15">
        <f t="shared" si="52"/>
        <v>5.0000000000000044E-2</v>
      </c>
      <c r="O23" s="15">
        <f t="shared" si="52"/>
        <v>5.0000000000000044E-2</v>
      </c>
      <c r="P23" s="15">
        <f t="shared" si="52"/>
        <v>5.0000000000000044E-2</v>
      </c>
      <c r="Q23" s="15">
        <f t="shared" si="52"/>
        <v>5.0000000000000044E-2</v>
      </c>
      <c r="T23" s="13" t="s">
        <v>30</v>
      </c>
      <c r="U23" s="15">
        <v>0.03</v>
      </c>
    </row>
    <row r="24" spans="2:21" x14ac:dyDescent="0.2">
      <c r="T24" s="13" t="s">
        <v>16</v>
      </c>
      <c r="U24" s="16">
        <f>U22/Main!M3</f>
        <v>174.59399074730393</v>
      </c>
    </row>
    <row r="25" spans="2:21" x14ac:dyDescent="0.2">
      <c r="B25" s="13" t="s">
        <v>8</v>
      </c>
      <c r="D25" s="14">
        <f>+C19</f>
        <v>-100</v>
      </c>
      <c r="E25" s="14">
        <f>+D25+D19</f>
        <v>-300</v>
      </c>
      <c r="F25" s="14">
        <f t="shared" ref="F25:Q25" si="53">+E25+E19</f>
        <v>-471.05</v>
      </c>
      <c r="G25" s="14">
        <f t="shared" si="53"/>
        <v>-28.099999999999966</v>
      </c>
      <c r="H25" s="14">
        <f t="shared" si="53"/>
        <v>639.82000000000016</v>
      </c>
      <c r="I25" s="14">
        <f t="shared" si="53"/>
        <v>1828.66</v>
      </c>
      <c r="J25" s="14">
        <f t="shared" si="53"/>
        <v>3753.5756799999999</v>
      </c>
      <c r="K25" s="14">
        <f t="shared" si="53"/>
        <v>5921.9795199999999</v>
      </c>
      <c r="L25" s="14">
        <f t="shared" si="53"/>
        <v>8373.0329363199999</v>
      </c>
      <c r="M25" s="14">
        <f t="shared" si="53"/>
        <v>11136.2248048</v>
      </c>
      <c r="N25" s="14">
        <f t="shared" si="53"/>
        <v>14101.295173271681</v>
      </c>
      <c r="O25" s="14">
        <f t="shared" si="53"/>
        <v>17282.888025486882</v>
      </c>
      <c r="P25" s="14">
        <f t="shared" si="53"/>
        <v>20693.358739390402</v>
      </c>
      <c r="Q25" s="14">
        <f t="shared" si="53"/>
        <v>24345.789663234336</v>
      </c>
      <c r="T25" s="13" t="s">
        <v>33</v>
      </c>
      <c r="U25" s="15">
        <f>U24/Main!M2-1</f>
        <v>0.74593990747303929</v>
      </c>
    </row>
  </sheetData>
  <hyperlinks>
    <hyperlink ref="A1" location="Main!A1" display="Main" xr:uid="{332E8F08-3EFF-4720-AD17-BC0C4D0EBBB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16839-BC77-4548-BA51-3104AA1774E3}">
  <dimension ref="A1:C15"/>
  <sheetViews>
    <sheetView zoomScaleNormal="100" workbookViewId="0">
      <selection activeCell="O36" sqref="O36"/>
    </sheetView>
  </sheetViews>
  <sheetFormatPr defaultRowHeight="12.75" x14ac:dyDescent="0.2"/>
  <cols>
    <col min="1" max="1" width="5.42578125" style="10" bestFit="1" customWidth="1"/>
    <col min="2" max="2" width="26.28515625" style="10" customWidth="1"/>
    <col min="3" max="3" width="11.42578125" style="10" bestFit="1" customWidth="1"/>
    <col min="4" max="16384" width="9.140625" style="10"/>
  </cols>
  <sheetData>
    <row r="1" spans="1:3" x14ac:dyDescent="0.2">
      <c r="A1" s="8" t="s">
        <v>4</v>
      </c>
    </row>
    <row r="2" spans="1:3" x14ac:dyDescent="0.2">
      <c r="B2" s="4" t="s">
        <v>5</v>
      </c>
      <c r="C2" s="10" t="s">
        <v>34</v>
      </c>
    </row>
    <row r="3" spans="1:3" x14ac:dyDescent="0.2">
      <c r="B3" s="4" t="s">
        <v>6</v>
      </c>
      <c r="C3" s="10" t="s">
        <v>3</v>
      </c>
    </row>
    <row r="4" spans="1:3" x14ac:dyDescent="0.2">
      <c r="B4" s="4" t="s">
        <v>7</v>
      </c>
      <c r="C4" s="10" t="s">
        <v>35</v>
      </c>
    </row>
    <row r="5" spans="1:3" x14ac:dyDescent="0.2">
      <c r="B5" s="4" t="s">
        <v>36</v>
      </c>
      <c r="C5" s="10" t="s">
        <v>37</v>
      </c>
    </row>
    <row r="6" spans="1:3" x14ac:dyDescent="0.2">
      <c r="B6" s="4" t="s">
        <v>38</v>
      </c>
      <c r="C6" s="11" t="s">
        <v>39</v>
      </c>
    </row>
    <row r="7" spans="1:3" x14ac:dyDescent="0.2">
      <c r="C7" s="11" t="s">
        <v>40</v>
      </c>
    </row>
    <row r="8" spans="1:3" x14ac:dyDescent="0.2">
      <c r="C8" s="11" t="s">
        <v>41</v>
      </c>
    </row>
    <row r="9" spans="1:3" x14ac:dyDescent="0.2">
      <c r="B9" s="4" t="s">
        <v>32</v>
      </c>
      <c r="C9" s="10" t="s">
        <v>42</v>
      </c>
    </row>
    <row r="11" spans="1:3" x14ac:dyDescent="0.2">
      <c r="B11" s="4" t="s">
        <v>43</v>
      </c>
      <c r="C11" s="10" t="s">
        <v>44</v>
      </c>
    </row>
    <row r="15" spans="1:3" x14ac:dyDescent="0.2">
      <c r="B15" s="12"/>
    </row>
  </sheetData>
  <hyperlinks>
    <hyperlink ref="A1" location="Main!A1" display="Main" xr:uid="{15214D53-7FCA-4477-8345-FC7642A20134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Model</vt:lpstr>
      <vt:lpstr>obefazimod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Nichols Ringholm</dc:creator>
  <cp:lastModifiedBy>Sam Nichols Ringholm</cp:lastModifiedBy>
  <dcterms:created xsi:type="dcterms:W3CDTF">2025-07-23T11:27:14Z</dcterms:created>
  <dcterms:modified xsi:type="dcterms:W3CDTF">2025-10-19T10:29:42Z</dcterms:modified>
</cp:coreProperties>
</file>