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aben\Downloads\"/>
    </mc:Choice>
  </mc:AlternateContent>
  <xr:revisionPtr revIDLastSave="0" documentId="8_{65305CAA-659D-4AD6-9382-C6189E255614}" xr6:coauthVersionLast="47" xr6:coauthVersionMax="47" xr10:uidLastSave="{00000000-0000-0000-0000-000000000000}"/>
  <bookViews>
    <workbookView xWindow="0" yWindow="0" windowWidth="25800" windowHeight="21000" activeTab="1" xr2:uid="{C805B1BA-B66D-4BA0-8D01-D55633D0E2D4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1" i="2" l="1"/>
  <c r="S35" i="2"/>
  <c r="S34" i="2"/>
  <c r="S29" i="2"/>
  <c r="S27" i="2"/>
  <c r="S30" i="2" s="1"/>
  <c r="S21" i="2"/>
  <c r="S9" i="2"/>
  <c r="S18" i="2"/>
  <c r="S5" i="2"/>
  <c r="S19" i="2" s="1"/>
  <c r="P18" i="2"/>
  <c r="AA16" i="2"/>
  <c r="AB16" i="2" s="1"/>
  <c r="AC16" i="2" s="1"/>
  <c r="AD16" i="2" s="1"/>
  <c r="AE16" i="2" s="1"/>
  <c r="AF16" i="2" s="1"/>
  <c r="AG16" i="2" s="1"/>
  <c r="AH16" i="2" s="1"/>
  <c r="AI16" i="2" s="1"/>
  <c r="AJ16" i="2" s="1"/>
  <c r="AK16" i="2" s="1"/>
  <c r="Q8" i="2"/>
  <c r="Q7" i="2"/>
  <c r="Z7" i="2" s="1"/>
  <c r="AA7" i="2" s="1"/>
  <c r="AB7" i="2" s="1"/>
  <c r="AC7" i="2" s="1"/>
  <c r="AD7" i="2" s="1"/>
  <c r="AE7" i="2" s="1"/>
  <c r="AF7" i="2" s="1"/>
  <c r="AG7" i="2" s="1"/>
  <c r="AH7" i="2" s="1"/>
  <c r="AI7" i="2" s="1"/>
  <c r="AJ7" i="2" s="1"/>
  <c r="AK7" i="2" s="1"/>
  <c r="Q6" i="2"/>
  <c r="G19" i="2"/>
  <c r="F19" i="2"/>
  <c r="E19" i="2"/>
  <c r="D19" i="2"/>
  <c r="G18" i="2"/>
  <c r="K19" i="2"/>
  <c r="J19" i="2"/>
  <c r="I19" i="2"/>
  <c r="H19" i="2"/>
  <c r="K18" i="2"/>
  <c r="J18" i="2"/>
  <c r="I18" i="2"/>
  <c r="H18" i="2"/>
  <c r="S10" i="2" l="1"/>
  <c r="S12" i="2" s="1"/>
  <c r="S14" i="2" s="1"/>
  <c r="S15" i="2" s="1"/>
  <c r="S40" i="2"/>
  <c r="Q9" i="2"/>
  <c r="Z6" i="2"/>
  <c r="AA6" i="2" s="1"/>
  <c r="AB6" i="2" s="1"/>
  <c r="AC6" i="2" s="1"/>
  <c r="AD6" i="2" s="1"/>
  <c r="AE6" i="2" s="1"/>
  <c r="AF6" i="2" s="1"/>
  <c r="AG6" i="2" s="1"/>
  <c r="AH6" i="2" s="1"/>
  <c r="AI6" i="2" s="1"/>
  <c r="AJ6" i="2" s="1"/>
  <c r="AK6" i="2" s="1"/>
  <c r="Q3" i="2"/>
  <c r="Z2" i="2"/>
  <c r="AA2" i="2" s="1"/>
  <c r="AB2" i="2" s="1"/>
  <c r="AC2" i="2" s="1"/>
  <c r="AD2" i="2" s="1"/>
  <c r="AE2" i="2" s="1"/>
  <c r="AF2" i="2" s="1"/>
  <c r="AG2" i="2" s="1"/>
  <c r="AH2" i="2" s="1"/>
  <c r="AI2" i="2" s="1"/>
  <c r="AJ2" i="2" s="1"/>
  <c r="AK2" i="2" s="1"/>
  <c r="L7" i="1"/>
  <c r="L4" i="1"/>
  <c r="P21" i="2"/>
  <c r="P35" i="2"/>
  <c r="P34" i="2"/>
  <c r="P40" i="2" s="1"/>
  <c r="P27" i="2"/>
  <c r="P30" i="2" s="1"/>
  <c r="O5" i="2"/>
  <c r="O19" i="2" s="1"/>
  <c r="N5" i="2"/>
  <c r="N19" i="2" s="1"/>
  <c r="M5" i="2"/>
  <c r="M19" i="2" s="1"/>
  <c r="L5" i="2"/>
  <c r="L19" i="2" s="1"/>
  <c r="K14" i="2"/>
  <c r="J14" i="2"/>
  <c r="I14" i="2"/>
  <c r="H14" i="2"/>
  <c r="G14" i="2"/>
  <c r="F14" i="2"/>
  <c r="E14" i="2"/>
  <c r="D14" i="2"/>
  <c r="C14" i="2"/>
  <c r="O9" i="2"/>
  <c r="N9" i="2"/>
  <c r="M9" i="2"/>
  <c r="L9" i="2"/>
  <c r="K9" i="2"/>
  <c r="K10" i="2" s="1"/>
  <c r="J9" i="2"/>
  <c r="J10" i="2" s="1"/>
  <c r="I9" i="2"/>
  <c r="I10" i="2" s="1"/>
  <c r="H9" i="2"/>
  <c r="H10" i="2" s="1"/>
  <c r="G9" i="2"/>
  <c r="G10" i="2" s="1"/>
  <c r="F9" i="2"/>
  <c r="F10" i="2" s="1"/>
  <c r="E9" i="2"/>
  <c r="E10" i="2" s="1"/>
  <c r="D9" i="2"/>
  <c r="D10" i="2" s="1"/>
  <c r="C9" i="2"/>
  <c r="C10" i="2" s="1"/>
  <c r="P9" i="2"/>
  <c r="P5" i="2"/>
  <c r="O18" i="2"/>
  <c r="N18" i="2"/>
  <c r="M18" i="2"/>
  <c r="L18" i="2"/>
  <c r="Q18" i="2" l="1"/>
  <c r="Q4" i="2"/>
  <c r="Z8" i="2"/>
  <c r="R9" i="2"/>
  <c r="P10" i="2"/>
  <c r="P12" i="2" s="1"/>
  <c r="P14" i="2" s="1"/>
  <c r="P15" i="2" s="1"/>
  <c r="P19" i="2"/>
  <c r="L10" i="2"/>
  <c r="L12" i="2" s="1"/>
  <c r="L14" i="2" s="1"/>
  <c r="L15" i="2" s="1"/>
  <c r="N10" i="2"/>
  <c r="N12" i="2" s="1"/>
  <c r="N14" i="2" s="1"/>
  <c r="M10" i="2"/>
  <c r="M12" i="2" s="1"/>
  <c r="M14" i="2" s="1"/>
  <c r="O10" i="2"/>
  <c r="O12" i="2" s="1"/>
  <c r="O14" i="2" s="1"/>
  <c r="AA8" i="2" l="1"/>
  <c r="Z9" i="2"/>
  <c r="R18" i="2"/>
  <c r="R5" i="2"/>
  <c r="R19" i="2" s="1"/>
  <c r="Z4" i="2"/>
  <c r="Q5" i="2"/>
  <c r="Z3" i="2"/>
  <c r="Z5" i="2" l="1"/>
  <c r="AA3" i="2"/>
  <c r="Q19" i="2"/>
  <c r="Q10" i="2"/>
  <c r="Q12" i="2" s="1"/>
  <c r="Q14" i="2" s="1"/>
  <c r="Q15" i="2" s="1"/>
  <c r="R10" i="2"/>
  <c r="R12" i="2" s="1"/>
  <c r="R14" i="2" s="1"/>
  <c r="R15" i="2" s="1"/>
  <c r="AB8" i="2"/>
  <c r="AA9" i="2"/>
  <c r="AC8" i="2" l="1"/>
  <c r="AB9" i="2"/>
  <c r="Z21" i="2"/>
  <c r="AA5" i="2"/>
  <c r="AB3" i="2"/>
  <c r="AA18" i="2"/>
  <c r="AA4" i="2"/>
  <c r="Z19" i="2"/>
  <c r="Z10" i="2"/>
  <c r="Z12" i="2" s="1"/>
  <c r="AC3" i="2" l="1"/>
  <c r="AB5" i="2"/>
  <c r="AB18" i="2"/>
  <c r="AA19" i="2"/>
  <c r="AA10" i="2"/>
  <c r="AA11" i="2"/>
  <c r="AD8" i="2"/>
  <c r="AC9" i="2"/>
  <c r="AB19" i="2" l="1"/>
  <c r="AB10" i="2"/>
  <c r="AE8" i="2"/>
  <c r="AD9" i="2"/>
  <c r="AA12" i="2"/>
  <c r="AB4" i="2"/>
  <c r="AD3" i="2"/>
  <c r="AC18" i="2"/>
  <c r="AC5" i="2"/>
  <c r="AC4" i="2" l="1"/>
  <c r="AC19" i="2"/>
  <c r="AC10" i="2"/>
  <c r="AE3" i="2"/>
  <c r="AD18" i="2"/>
  <c r="AD5" i="2"/>
  <c r="AA13" i="2"/>
  <c r="AA14" i="2" s="1"/>
  <c r="AF8" i="2"/>
  <c r="AE9" i="2"/>
  <c r="AD4" i="2" l="1"/>
  <c r="AD19" i="2"/>
  <c r="AD10" i="2"/>
  <c r="AF9" i="2"/>
  <c r="AG8" i="2"/>
  <c r="AA15" i="2"/>
  <c r="AA21" i="2"/>
  <c r="AF3" i="2"/>
  <c r="AE5" i="2"/>
  <c r="AE18" i="2"/>
  <c r="AE4" i="2" l="1"/>
  <c r="AE19" i="2"/>
  <c r="AE10" i="2"/>
  <c r="AG3" i="2"/>
  <c r="AF18" i="2"/>
  <c r="AF5" i="2"/>
  <c r="AF4" i="2" s="1"/>
  <c r="AB11" i="2"/>
  <c r="AB12" i="2" s="1"/>
  <c r="AB13" i="2" s="1"/>
  <c r="AB14" i="2" s="1"/>
  <c r="AG9" i="2"/>
  <c r="AH8" i="2"/>
  <c r="AB15" i="2" l="1"/>
  <c r="AB21" i="2"/>
  <c r="AC11" i="2" s="1"/>
  <c r="AC12" i="2" s="1"/>
  <c r="AI8" i="2"/>
  <c r="AH9" i="2"/>
  <c r="AF10" i="2"/>
  <c r="AF19" i="2"/>
  <c r="AH3" i="2"/>
  <c r="AG5" i="2"/>
  <c r="AG18" i="2"/>
  <c r="AG19" i="2" l="1"/>
  <c r="AG10" i="2"/>
  <c r="AC13" i="2"/>
  <c r="AC14" i="2"/>
  <c r="AJ8" i="2"/>
  <c r="AI9" i="2"/>
  <c r="AG4" i="2"/>
  <c r="AI3" i="2"/>
  <c r="AH18" i="2"/>
  <c r="AH5" i="2"/>
  <c r="AH4" i="2" s="1"/>
  <c r="AH19" i="2" l="1"/>
  <c r="AH10" i="2"/>
  <c r="AJ3" i="2"/>
  <c r="AI18" i="2"/>
  <c r="AI5" i="2"/>
  <c r="AJ9" i="2"/>
  <c r="AK8" i="2"/>
  <c r="AK9" i="2" s="1"/>
  <c r="AC15" i="2"/>
  <c r="AC21" i="2"/>
  <c r="AD11" i="2" l="1"/>
  <c r="AD12" i="2" s="1"/>
  <c r="AI4" i="2"/>
  <c r="AI10" i="2"/>
  <c r="AI19" i="2"/>
  <c r="AK3" i="2"/>
  <c r="AJ18" i="2"/>
  <c r="AJ5" i="2"/>
  <c r="AJ4" i="2" l="1"/>
  <c r="AJ19" i="2"/>
  <c r="AJ10" i="2"/>
  <c r="AK18" i="2"/>
  <c r="AK5" i="2"/>
  <c r="AD13" i="2"/>
  <c r="AD14" i="2" s="1"/>
  <c r="AD15" i="2" l="1"/>
  <c r="AD21" i="2"/>
  <c r="AK4" i="2"/>
  <c r="AK10" i="2"/>
  <c r="AK19" i="2"/>
  <c r="AE11" i="2" l="1"/>
  <c r="AE12" i="2" s="1"/>
  <c r="AE13" i="2" l="1"/>
  <c r="AE14" i="2" s="1"/>
  <c r="AE15" i="2" l="1"/>
  <c r="AE21" i="2"/>
  <c r="AF11" i="2" l="1"/>
  <c r="AF12" i="2" s="1"/>
  <c r="AF13" i="2" s="1"/>
  <c r="AF14" i="2" s="1"/>
  <c r="AF15" i="2" s="1"/>
  <c r="AF21" i="2" l="1"/>
  <c r="AG11" i="2"/>
  <c r="AG12" i="2" s="1"/>
  <c r="AG13" i="2" l="1"/>
  <c r="AG14" i="2" s="1"/>
  <c r="AG15" i="2" l="1"/>
  <c r="AG21" i="2"/>
  <c r="AH11" i="2" s="1"/>
  <c r="AH12" i="2" s="1"/>
  <c r="AH13" i="2" s="1"/>
  <c r="AH14" i="2" s="1"/>
  <c r="AH21" i="2" l="1"/>
  <c r="AH15" i="2"/>
  <c r="AI11" i="2" l="1"/>
  <c r="AI12" i="2" s="1"/>
  <c r="AI13" i="2" s="1"/>
  <c r="AI14" i="2" s="1"/>
  <c r="AI15" i="2" s="1"/>
  <c r="AI21" i="2" l="1"/>
  <c r="AJ11" i="2" s="1"/>
  <c r="AJ12" i="2" s="1"/>
  <c r="AJ13" i="2" s="1"/>
  <c r="AJ14" i="2" l="1"/>
  <c r="AJ15" i="2" s="1"/>
  <c r="AJ21" i="2"/>
  <c r="AK11" i="2" s="1"/>
  <c r="AK12" i="2" s="1"/>
  <c r="AK13" i="2" s="1"/>
  <c r="AK14" i="2" s="1"/>
  <c r="AK15" i="2" s="1"/>
  <c r="AK21" i="2" l="1"/>
  <c r="AL14" i="2"/>
  <c r="AM14" i="2" s="1"/>
  <c r="AN14" i="2" s="1"/>
  <c r="AO14" i="2" s="1"/>
  <c r="AP14" i="2" s="1"/>
  <c r="AQ14" i="2" s="1"/>
  <c r="AR14" i="2" s="1"/>
  <c r="AS14" i="2" s="1"/>
  <c r="AT14" i="2" s="1"/>
  <c r="AU14" i="2" s="1"/>
  <c r="AV14" i="2" s="1"/>
  <c r="AW14" i="2" s="1"/>
  <c r="AX14" i="2" s="1"/>
  <c r="AY14" i="2" s="1"/>
  <c r="AZ14" i="2" s="1"/>
  <c r="BA14" i="2" s="1"/>
  <c r="BB14" i="2" s="1"/>
  <c r="BC14" i="2" s="1"/>
  <c r="BD14" i="2" s="1"/>
  <c r="BE14" i="2" s="1"/>
  <c r="BF14" i="2" s="1"/>
  <c r="BG14" i="2" s="1"/>
  <c r="BH14" i="2" s="1"/>
  <c r="BI14" i="2" s="1"/>
  <c r="BJ14" i="2" s="1"/>
  <c r="BK14" i="2" s="1"/>
  <c r="BL14" i="2" s="1"/>
  <c r="BM14" i="2" s="1"/>
  <c r="BN14" i="2" s="1"/>
  <c r="BO14" i="2" s="1"/>
  <c r="BP14" i="2" s="1"/>
  <c r="BQ14" i="2" s="1"/>
  <c r="BR14" i="2" s="1"/>
  <c r="BS14" i="2" s="1"/>
  <c r="BT14" i="2" s="1"/>
  <c r="BU14" i="2" s="1"/>
  <c r="BV14" i="2" s="1"/>
  <c r="BW14" i="2" s="1"/>
  <c r="BX14" i="2" s="1"/>
  <c r="BY14" i="2" s="1"/>
  <c r="BZ14" i="2" s="1"/>
  <c r="CA14" i="2" s="1"/>
  <c r="CB14" i="2" s="1"/>
  <c r="CC14" i="2" s="1"/>
  <c r="CD14" i="2" s="1"/>
  <c r="CE14" i="2" s="1"/>
  <c r="CF14" i="2" s="1"/>
  <c r="CG14" i="2" s="1"/>
  <c r="CH14" i="2" s="1"/>
  <c r="CI14" i="2" s="1"/>
  <c r="CJ14" i="2" s="1"/>
  <c r="CK14" i="2" s="1"/>
  <c r="CL14" i="2" s="1"/>
  <c r="CM14" i="2" s="1"/>
  <c r="CN14" i="2" s="1"/>
  <c r="CO14" i="2" s="1"/>
  <c r="CP14" i="2" s="1"/>
  <c r="CQ14" i="2" s="1"/>
  <c r="CR14" i="2" s="1"/>
  <c r="CS14" i="2" s="1"/>
  <c r="CT14" i="2" s="1"/>
  <c r="CU14" i="2" s="1"/>
  <c r="CV14" i="2" s="1"/>
  <c r="CW14" i="2" s="1"/>
  <c r="CX14" i="2" s="1"/>
  <c r="CY14" i="2" s="1"/>
  <c r="CZ14" i="2" s="1"/>
  <c r="DA14" i="2" s="1"/>
  <c r="DB14" i="2" s="1"/>
  <c r="DC14" i="2" s="1"/>
  <c r="DD14" i="2" s="1"/>
  <c r="DE14" i="2" s="1"/>
  <c r="DF14" i="2" s="1"/>
  <c r="DG14" i="2" s="1"/>
  <c r="DH14" i="2" s="1"/>
  <c r="DI14" i="2" s="1"/>
  <c r="DJ14" i="2" s="1"/>
  <c r="DK14" i="2" s="1"/>
  <c r="DL14" i="2" s="1"/>
  <c r="DM14" i="2" s="1"/>
  <c r="DN14" i="2" s="1"/>
  <c r="DO14" i="2" s="1"/>
  <c r="DP14" i="2" s="1"/>
  <c r="DQ14" i="2" s="1"/>
  <c r="DR14" i="2" s="1"/>
  <c r="DS14" i="2" s="1"/>
  <c r="DT14" i="2" s="1"/>
  <c r="DU14" i="2" s="1"/>
  <c r="DV14" i="2" s="1"/>
  <c r="DW14" i="2" s="1"/>
  <c r="DX14" i="2" s="1"/>
  <c r="DY14" i="2" s="1"/>
  <c r="DZ14" i="2" s="1"/>
  <c r="EA14" i="2" s="1"/>
  <c r="EB14" i="2" s="1"/>
  <c r="EC14" i="2" s="1"/>
  <c r="ED14" i="2" s="1"/>
  <c r="EE14" i="2" s="1"/>
  <c r="EF14" i="2" s="1"/>
  <c r="EG14" i="2" s="1"/>
  <c r="EH14" i="2" s="1"/>
  <c r="EI14" i="2" s="1"/>
  <c r="EJ14" i="2" s="1"/>
  <c r="EK14" i="2" s="1"/>
  <c r="EL14" i="2" s="1"/>
  <c r="EM14" i="2" s="1"/>
  <c r="EN14" i="2" s="1"/>
  <c r="EO14" i="2" s="1"/>
  <c r="EP14" i="2" s="1"/>
  <c r="EQ14" i="2" s="1"/>
  <c r="ER14" i="2" s="1"/>
  <c r="ES14" i="2" s="1"/>
  <c r="ET14" i="2" s="1"/>
  <c r="EU14" i="2" s="1"/>
  <c r="EV14" i="2" s="1"/>
  <c r="EW14" i="2" s="1"/>
  <c r="EX14" i="2" s="1"/>
  <c r="EY14" i="2" s="1"/>
  <c r="EZ14" i="2" s="1"/>
  <c r="FA14" i="2" s="1"/>
  <c r="FB14" i="2" s="1"/>
  <c r="FC14" i="2" s="1"/>
  <c r="FD14" i="2" s="1"/>
  <c r="FE14" i="2" s="1"/>
  <c r="FF14" i="2" s="1"/>
  <c r="FG14" i="2" s="1"/>
  <c r="FH14" i="2" s="1"/>
  <c r="FI14" i="2" s="1"/>
  <c r="FJ14" i="2" s="1"/>
  <c r="FK14" i="2" s="1"/>
  <c r="FL14" i="2" s="1"/>
  <c r="FM14" i="2" s="1"/>
  <c r="FN14" i="2" s="1"/>
  <c r="FO14" i="2" s="1"/>
  <c r="FP14" i="2" s="1"/>
  <c r="FQ14" i="2" s="1"/>
  <c r="FR14" i="2" s="1"/>
  <c r="FS14" i="2" s="1"/>
  <c r="FT14" i="2" s="1"/>
  <c r="FU14" i="2" s="1"/>
  <c r="FV14" i="2" s="1"/>
  <c r="FW14" i="2" s="1"/>
  <c r="FX14" i="2" s="1"/>
  <c r="FY14" i="2" s="1"/>
  <c r="FZ14" i="2" s="1"/>
  <c r="GA14" i="2" s="1"/>
  <c r="GB14" i="2" s="1"/>
  <c r="GC14" i="2" s="1"/>
  <c r="GD14" i="2" s="1"/>
  <c r="GE14" i="2" s="1"/>
  <c r="GF14" i="2" s="1"/>
  <c r="GG14" i="2" s="1"/>
  <c r="AK26" i="2" s="1"/>
  <c r="AK27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 Ringholm</author>
  </authors>
  <commentList>
    <comment ref="AA3" authorId="0" shapeId="0" xr:uid="{66BAA328-88FF-4399-B084-C13C75208571}">
      <text>
        <r>
          <rPr>
            <b/>
            <sz val="9"/>
            <color indexed="81"/>
            <rFont val="Tahoma"/>
            <charset val="1"/>
          </rPr>
          <t>Sam Ringholm:</t>
        </r>
        <r>
          <rPr>
            <sz val="9"/>
            <color indexed="81"/>
            <rFont val="Tahoma"/>
            <charset val="1"/>
          </rPr>
          <t xml:space="preserve">
Q125 guidance: FY25 &gt;500m</t>
        </r>
      </text>
    </comment>
    <comment ref="AB3" authorId="0" shapeId="0" xr:uid="{347AA511-D75C-472E-A1F5-D41103A1F8FF}">
      <text>
        <r>
          <rPr>
            <b/>
            <sz val="9"/>
            <color indexed="81"/>
            <rFont val="Tahoma"/>
            <charset val="1"/>
          </rPr>
          <t>Sam Ringholm:</t>
        </r>
        <r>
          <rPr>
            <sz val="9"/>
            <color indexed="81"/>
            <rFont val="Tahoma"/>
            <charset val="1"/>
          </rPr>
          <t xml:space="preserve">
Q125: FY26 guidance &gt;625m</t>
        </r>
      </text>
    </comment>
    <comment ref="AA14" authorId="0" shapeId="0" xr:uid="{CFEC713B-4FF8-45C6-9D07-F82DDC70B6BE}">
      <text>
        <r>
          <rPr>
            <b/>
            <sz val="9"/>
            <color indexed="81"/>
            <rFont val="Tahoma"/>
            <charset val="1"/>
          </rPr>
          <t>Sam Ringholm:</t>
        </r>
        <r>
          <rPr>
            <sz val="9"/>
            <color indexed="81"/>
            <rFont val="Tahoma"/>
            <charset val="1"/>
          </rPr>
          <t xml:space="preserve">
Q125: adj NI guidance &gt;175m</t>
        </r>
      </text>
    </comment>
    <comment ref="AB14" authorId="0" shapeId="0" xr:uid="{7BA4D050-CE84-43AF-8D5D-41E393176203}">
      <text>
        <r>
          <rPr>
            <b/>
            <sz val="9"/>
            <color indexed="81"/>
            <rFont val="Tahoma"/>
            <charset val="1"/>
          </rPr>
          <t>Sam Ringholm:</t>
        </r>
        <r>
          <rPr>
            <sz val="9"/>
            <color indexed="81"/>
            <rFont val="Tahoma"/>
            <charset val="1"/>
          </rPr>
          <t xml:space="preserve">
Q125: FY26 adj NI 245m</t>
        </r>
      </text>
    </comment>
  </commentList>
</comments>
</file>

<file path=xl/sharedStrings.xml><?xml version="1.0" encoding="utf-8"?>
<sst xmlns="http://schemas.openxmlformats.org/spreadsheetml/2006/main" count="95" uniqueCount="81">
  <si>
    <t>Price</t>
  </si>
  <si>
    <t>Shares</t>
  </si>
  <si>
    <t>MC</t>
  </si>
  <si>
    <t>Cash</t>
  </si>
  <si>
    <t>Debt</t>
  </si>
  <si>
    <t>EV</t>
  </si>
  <si>
    <t/>
  </si>
  <si>
    <t>SG&amp;A Expense</t>
  </si>
  <si>
    <t>R&amp;D Expense</t>
  </si>
  <si>
    <t>Net Income</t>
  </si>
  <si>
    <t>Main</t>
  </si>
  <si>
    <t>Revenue</t>
  </si>
  <si>
    <t>COGS</t>
  </si>
  <si>
    <t>Gross Profit</t>
  </si>
  <si>
    <t>Q224</t>
  </si>
  <si>
    <t>Q124</t>
  </si>
  <si>
    <t>Q423</t>
  </si>
  <si>
    <t>Q323</t>
  </si>
  <si>
    <t>Q223</t>
  </si>
  <si>
    <t>Q123</t>
  </si>
  <si>
    <t>Revenue y/y</t>
  </si>
  <si>
    <t>Center Expenses</t>
  </si>
  <si>
    <t>Operating Expenses</t>
  </si>
  <si>
    <t>Operating Income</t>
  </si>
  <si>
    <t>Interest Income</t>
  </si>
  <si>
    <t>Pretax Income</t>
  </si>
  <si>
    <t>Taxes</t>
  </si>
  <si>
    <t>Q324</t>
  </si>
  <si>
    <t>Q424</t>
  </si>
  <si>
    <t>EPS</t>
  </si>
  <si>
    <t>AR</t>
  </si>
  <si>
    <t>Inventories</t>
  </si>
  <si>
    <t>Prepaids</t>
  </si>
  <si>
    <t>PP&amp;E</t>
  </si>
  <si>
    <t>Goodwill</t>
  </si>
  <si>
    <t>ROU</t>
  </si>
  <si>
    <t>Deposits/Other</t>
  </si>
  <si>
    <t>Assets</t>
  </si>
  <si>
    <t>AP</t>
  </si>
  <si>
    <t>Accrued</t>
  </si>
  <si>
    <t>DR</t>
  </si>
  <si>
    <t>Lease</t>
  </si>
  <si>
    <t>Fee</t>
  </si>
  <si>
    <t>L+SE</t>
  </si>
  <si>
    <t>ONCL</t>
  </si>
  <si>
    <t>Net Cash</t>
  </si>
  <si>
    <t>Asceniv</t>
  </si>
  <si>
    <t>Bivigam</t>
  </si>
  <si>
    <t>MOA</t>
  </si>
  <si>
    <t>Competition</t>
  </si>
  <si>
    <t>Approval</t>
  </si>
  <si>
    <t>Gross Margin</t>
  </si>
  <si>
    <t>Discount</t>
  </si>
  <si>
    <t>Terminal</t>
  </si>
  <si>
    <t>NPV</t>
  </si>
  <si>
    <t>ROIC</t>
  </si>
  <si>
    <t>Share</t>
  </si>
  <si>
    <t>Q125</t>
  </si>
  <si>
    <t>Q225</t>
  </si>
  <si>
    <t>Q325</t>
  </si>
  <si>
    <t>Q425</t>
  </si>
  <si>
    <t>SE</t>
  </si>
  <si>
    <t>Brand</t>
  </si>
  <si>
    <t>Generic</t>
  </si>
  <si>
    <t>Intravenous Immunoglobulin (10% IVIG)</t>
  </si>
  <si>
    <t>Provides passive immunity by replacing missing antibodies in immunodeficient patients</t>
  </si>
  <si>
    <t>Indication</t>
  </si>
  <si>
    <t>Primary Immunodeficiency (PIDD)</t>
  </si>
  <si>
    <t>FDA approved 2019-04-01</t>
  </si>
  <si>
    <t>Passive immunotherapy for antibody replacement</t>
  </si>
  <si>
    <t>FDA approved 2019-05-09</t>
  </si>
  <si>
    <t>Gammagard (Takeda), Gamunex (Grifols), Gammaplex (Kedrion)</t>
  </si>
  <si>
    <t>Privigen (CSL Behring), Gammagard (Takeda), Gamunex (Grifols)</t>
  </si>
  <si>
    <t>Q121</t>
  </si>
  <si>
    <t>Q221</t>
  </si>
  <si>
    <t>Q321</t>
  </si>
  <si>
    <t>Q421</t>
  </si>
  <si>
    <t>Q122</t>
  </si>
  <si>
    <t>Q222</t>
  </si>
  <si>
    <t>Q322</t>
  </si>
  <si>
    <t>Q422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</si>
</sst>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2"/>
      <color theme="1"/>
      <name val="Aptos Narrow"/>
      <family val="2"/>
      <scheme val="minor"/>
    </font>
    <font>
      <u/>
      <sz val="10"/>
      <color theme="1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/>
    <xf numFmtId="0" fontId="4" fillId="0" borderId="0" applyNumberFormat="0" applyFill="0" applyBorder="0" applyAlignment="0" applyProtection="0"/>
  </cellStyleXfs>
  <cellXfs count="15">
    <xf numFmtId="0" fontId="0" fillId="0" borderId="0" xfId="0"/>
    <xf numFmtId="0" fontId="4" fillId="0" borderId="0" xfId="2"/>
    <xf numFmtId="0" fontId="1" fillId="0" borderId="0" xfId="0" applyFont="1"/>
    <xf numFmtId="0" fontId="1" fillId="0" borderId="0" xfId="1" applyFont="1"/>
    <xf numFmtId="0" fontId="1" fillId="0" borderId="0" xfId="1" applyFont="1" applyAlignment="1">
      <alignment horizontal="right"/>
    </xf>
    <xf numFmtId="9" fontId="1" fillId="0" borderId="0" xfId="0" applyNumberFormat="1" applyFont="1"/>
    <xf numFmtId="3" fontId="1" fillId="0" borderId="0" xfId="0" applyNumberFormat="1" applyFont="1"/>
    <xf numFmtId="3" fontId="1" fillId="0" borderId="0" xfId="1" applyNumberFormat="1" applyFont="1"/>
    <xf numFmtId="3" fontId="2" fillId="0" borderId="0" xfId="0" applyNumberFormat="1" applyFont="1"/>
    <xf numFmtId="3" fontId="2" fillId="0" borderId="0" xfId="1" applyNumberFormat="1" applyFont="1"/>
    <xf numFmtId="4" fontId="1" fillId="0" borderId="0" xfId="1" applyNumberFormat="1" applyFont="1"/>
    <xf numFmtId="3" fontId="0" fillId="0" borderId="0" xfId="0" applyNumberFormat="1"/>
    <xf numFmtId="0" fontId="0" fillId="0" borderId="0" xfId="0" applyAlignment="1">
      <alignment horizontal="right"/>
    </xf>
    <xf numFmtId="4" fontId="1" fillId="0" borderId="0" xfId="0" applyNumberFormat="1" applyFont="1"/>
    <xf numFmtId="0" fontId="2" fillId="0" borderId="0" xfId="0" applyFont="1"/>
  </cellXfs>
  <cellStyles count="3">
    <cellStyle name="Hyperlink" xfId="2" builtinId="8"/>
    <cellStyle name="Normal" xfId="0" builtinId="0"/>
    <cellStyle name="Normal 2" xfId="1" xr:uid="{9B354E6A-3362-4C2F-ADCF-889D7DAEEF69}"/>
  </cellStyles>
  <dxfs count="0"/>
  <tableStyles count="1" defaultTableStyle="TableStyleMedium2" defaultPivotStyle="PivotStyleLight16">
    <tableStyle name="Invisible" pivot="0" table="0" count="0" xr9:uid="{DFABDD53-4DE7-447F-81FC-DF7621255005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32657</xdr:colOff>
      <xdr:row>0</xdr:row>
      <xdr:rowOff>0</xdr:rowOff>
    </xdr:from>
    <xdr:to>
      <xdr:col>19</xdr:col>
      <xdr:colOff>32657</xdr:colOff>
      <xdr:row>52</xdr:row>
      <xdr:rowOff>118242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F898BE40-B0F3-A51C-48F8-9153FA7E1BC5}"/>
            </a:ext>
          </a:extLst>
        </xdr:cNvPr>
        <xdr:cNvCxnSpPr/>
      </xdr:nvCxnSpPr>
      <xdr:spPr>
        <a:xfrm>
          <a:off x="36838571" y="0"/>
          <a:ext cx="0" cy="8657897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5B17E-8CAF-402D-804E-49EB209CC6AE}">
  <dimension ref="B2:M16"/>
  <sheetViews>
    <sheetView zoomScaleNormal="100" workbookViewId="0">
      <selection activeCell="E28" sqref="E28"/>
    </sheetView>
  </sheetViews>
  <sheetFormatPr defaultRowHeight="12.75" x14ac:dyDescent="0.2"/>
  <cols>
    <col min="1" max="1" width="5.28515625" customWidth="1"/>
    <col min="2" max="2" width="12" bestFit="1" customWidth="1"/>
    <col min="4" max="4" width="22.42578125" bestFit="1" customWidth="1"/>
    <col min="5" max="5" width="10.28515625" customWidth="1"/>
  </cols>
  <sheetData>
    <row r="2" spans="2:13" x14ac:dyDescent="0.2">
      <c r="K2" t="s">
        <v>0</v>
      </c>
      <c r="L2">
        <v>19.79</v>
      </c>
    </row>
    <row r="3" spans="2:13" x14ac:dyDescent="0.2">
      <c r="K3" t="s">
        <v>1</v>
      </c>
      <c r="L3" s="11">
        <v>242</v>
      </c>
      <c r="M3" s="12" t="s">
        <v>14</v>
      </c>
    </row>
    <row r="4" spans="2:13" x14ac:dyDescent="0.2">
      <c r="B4" s="14" t="s">
        <v>62</v>
      </c>
      <c r="C4" t="s">
        <v>46</v>
      </c>
      <c r="K4" t="s">
        <v>2</v>
      </c>
      <c r="L4" s="11">
        <f>+L2*L3</f>
        <v>4789.1799999999994</v>
      </c>
    </row>
    <row r="5" spans="2:13" x14ac:dyDescent="0.2">
      <c r="B5" s="14" t="s">
        <v>63</v>
      </c>
      <c r="C5" t="s">
        <v>64</v>
      </c>
      <c r="K5" t="s">
        <v>3</v>
      </c>
      <c r="L5" s="11">
        <v>88</v>
      </c>
      <c r="M5" s="12" t="s">
        <v>14</v>
      </c>
    </row>
    <row r="6" spans="2:13" x14ac:dyDescent="0.2">
      <c r="B6" s="14" t="s">
        <v>48</v>
      </c>
      <c r="C6" t="s">
        <v>65</v>
      </c>
      <c r="K6" t="s">
        <v>4</v>
      </c>
      <c r="L6" s="11">
        <v>131</v>
      </c>
      <c r="M6" s="12" t="s">
        <v>14</v>
      </c>
    </row>
    <row r="7" spans="2:13" x14ac:dyDescent="0.2">
      <c r="B7" s="14" t="s">
        <v>66</v>
      </c>
      <c r="C7" t="s">
        <v>67</v>
      </c>
      <c r="K7" t="s">
        <v>5</v>
      </c>
      <c r="L7" s="11">
        <f>+L4-L5+L6</f>
        <v>4832.1799999999994</v>
      </c>
    </row>
    <row r="8" spans="2:13" x14ac:dyDescent="0.2">
      <c r="B8" s="14" t="s">
        <v>50</v>
      </c>
      <c r="C8" t="s">
        <v>68</v>
      </c>
    </row>
    <row r="9" spans="2:13" x14ac:dyDescent="0.2">
      <c r="B9" s="14" t="s">
        <v>49</v>
      </c>
      <c r="C9" t="s">
        <v>71</v>
      </c>
    </row>
    <row r="10" spans="2:13" x14ac:dyDescent="0.2">
      <c r="B10" s="14"/>
    </row>
    <row r="11" spans="2:13" x14ac:dyDescent="0.2">
      <c r="B11" s="14" t="s">
        <v>62</v>
      </c>
      <c r="C11" t="s">
        <v>47</v>
      </c>
    </row>
    <row r="12" spans="2:13" x14ac:dyDescent="0.2">
      <c r="B12" s="14" t="s">
        <v>63</v>
      </c>
      <c r="C12" t="s">
        <v>64</v>
      </c>
    </row>
    <row r="13" spans="2:13" x14ac:dyDescent="0.2">
      <c r="B13" s="14" t="s">
        <v>48</v>
      </c>
      <c r="C13" t="s">
        <v>69</v>
      </c>
    </row>
    <row r="14" spans="2:13" x14ac:dyDescent="0.2">
      <c r="B14" s="14" t="s">
        <v>66</v>
      </c>
      <c r="C14" t="s">
        <v>67</v>
      </c>
    </row>
    <row r="15" spans="2:13" x14ac:dyDescent="0.2">
      <c r="B15" s="14" t="s">
        <v>50</v>
      </c>
      <c r="C15" t="s">
        <v>70</v>
      </c>
    </row>
    <row r="16" spans="2:13" x14ac:dyDescent="0.2">
      <c r="B16" s="14" t="s">
        <v>49</v>
      </c>
      <c r="C16" t="s">
        <v>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CB23D-CE21-4A3B-B18A-E37ACD1D9607}">
  <dimension ref="A1:GG40"/>
  <sheetViews>
    <sheetView tabSelected="1" zoomScaleNormal="100" workbookViewId="0">
      <pane xSplit="2" ySplit="2" topLeftCell="O3" activePane="bottomRight" state="frozen"/>
      <selection pane="topRight" activeCell="C1" sqref="C1"/>
      <selection pane="bottomLeft" activeCell="A3" sqref="A3"/>
      <selection pane="bottomRight" activeCell="P40" sqref="P40"/>
    </sheetView>
  </sheetViews>
  <sheetFormatPr defaultRowHeight="12.75" x14ac:dyDescent="0.2"/>
  <cols>
    <col min="1" max="1" width="5" style="2" bestFit="1" customWidth="1"/>
    <col min="2" max="2" width="24.7109375" style="2" bestFit="1" customWidth="1"/>
    <col min="3" max="34" width="9.140625" style="2"/>
    <col min="35" max="35" width="10" style="2" bestFit="1" customWidth="1"/>
    <col min="36" max="16384" width="9.140625" style="2"/>
  </cols>
  <sheetData>
    <row r="1" spans="1:189" x14ac:dyDescent="0.2">
      <c r="A1" s="1" t="s">
        <v>10</v>
      </c>
    </row>
    <row r="2" spans="1:189" x14ac:dyDescent="0.2">
      <c r="B2" s="3" t="s">
        <v>6</v>
      </c>
      <c r="C2" s="4" t="s">
        <v>73</v>
      </c>
      <c r="D2" s="4" t="s">
        <v>74</v>
      </c>
      <c r="E2" s="4" t="s">
        <v>75</v>
      </c>
      <c r="F2" s="4" t="s">
        <v>76</v>
      </c>
      <c r="G2" s="4" t="s">
        <v>77</v>
      </c>
      <c r="H2" s="4" t="s">
        <v>78</v>
      </c>
      <c r="I2" s="4" t="s">
        <v>79</v>
      </c>
      <c r="J2" s="4" t="s">
        <v>80</v>
      </c>
      <c r="K2" s="4" t="s">
        <v>19</v>
      </c>
      <c r="L2" s="4" t="s">
        <v>18</v>
      </c>
      <c r="M2" s="4" t="s">
        <v>17</v>
      </c>
      <c r="N2" s="4" t="s">
        <v>16</v>
      </c>
      <c r="O2" s="4" t="s">
        <v>15</v>
      </c>
      <c r="P2" s="4" t="s">
        <v>14</v>
      </c>
      <c r="Q2" s="4" t="s">
        <v>27</v>
      </c>
      <c r="R2" s="4" t="s">
        <v>28</v>
      </c>
      <c r="S2" s="4" t="s">
        <v>57</v>
      </c>
      <c r="T2" s="4" t="s">
        <v>58</v>
      </c>
      <c r="U2" s="4" t="s">
        <v>59</v>
      </c>
      <c r="V2" s="4" t="s">
        <v>60</v>
      </c>
      <c r="Y2" s="2">
        <v>2023</v>
      </c>
      <c r="Z2" s="2">
        <f t="shared" ref="Z2:AC2" si="0">+Y2+1</f>
        <v>2024</v>
      </c>
      <c r="AA2" s="2">
        <f t="shared" si="0"/>
        <v>2025</v>
      </c>
      <c r="AB2" s="2">
        <f t="shared" si="0"/>
        <v>2026</v>
      </c>
      <c r="AC2" s="2">
        <f t="shared" si="0"/>
        <v>2027</v>
      </c>
      <c r="AD2">
        <f>+AC2+1</f>
        <v>2028</v>
      </c>
      <c r="AE2">
        <f t="shared" ref="AE2:AF2" si="1">+AD2+1</f>
        <v>2029</v>
      </c>
      <c r="AF2">
        <f t="shared" si="1"/>
        <v>2030</v>
      </c>
      <c r="AG2">
        <f t="shared" ref="AG2:AK2" si="2">+AF2+1</f>
        <v>2031</v>
      </c>
      <c r="AH2">
        <f t="shared" si="2"/>
        <v>2032</v>
      </c>
      <c r="AI2">
        <f t="shared" si="2"/>
        <v>2033</v>
      </c>
      <c r="AJ2">
        <f t="shared" si="2"/>
        <v>2034</v>
      </c>
      <c r="AK2">
        <f t="shared" si="2"/>
        <v>2035</v>
      </c>
    </row>
    <row r="3" spans="1:189" s="8" customFormat="1" x14ac:dyDescent="0.2">
      <c r="B3" s="9" t="s">
        <v>11</v>
      </c>
      <c r="C3" s="9">
        <v>16</v>
      </c>
      <c r="D3" s="9">
        <v>17.8</v>
      </c>
      <c r="E3" s="9">
        <v>20.7</v>
      </c>
      <c r="F3" s="9">
        <v>26.4</v>
      </c>
      <c r="G3" s="9">
        <v>29.1</v>
      </c>
      <c r="H3" s="9">
        <v>33.9</v>
      </c>
      <c r="I3" s="9">
        <v>41.1</v>
      </c>
      <c r="J3" s="9">
        <v>50</v>
      </c>
      <c r="K3" s="9">
        <v>56.9</v>
      </c>
      <c r="L3" s="9">
        <v>60.1</v>
      </c>
      <c r="M3" s="9">
        <v>67.3</v>
      </c>
      <c r="N3" s="9">
        <v>73.900000000000006</v>
      </c>
      <c r="O3" s="9">
        <v>81.900000000000006</v>
      </c>
      <c r="P3" s="9">
        <v>107.2</v>
      </c>
      <c r="Q3" s="8">
        <f>+P3+5</f>
        <v>112.2</v>
      </c>
      <c r="R3" s="8">
        <v>117.54900000000001</v>
      </c>
      <c r="S3" s="8">
        <v>114.8002</v>
      </c>
      <c r="Z3" s="8">
        <f>SUM(O3:R3)</f>
        <v>418.84900000000005</v>
      </c>
      <c r="AA3" s="8">
        <f>+Z3*1.4</f>
        <v>586.3886</v>
      </c>
      <c r="AB3" s="8">
        <f>+AA3*1.3</f>
        <v>762.30518000000006</v>
      </c>
      <c r="AC3" s="8">
        <f>+AB3*1.2</f>
        <v>914.7662160000001</v>
      </c>
      <c r="AD3" s="8">
        <f>+AC3*1.2</f>
        <v>1097.7194592000001</v>
      </c>
      <c r="AE3" s="8">
        <f>+AD3*1.15</f>
        <v>1262.37737808</v>
      </c>
      <c r="AF3" s="8">
        <f>+AE3*1.15</f>
        <v>1451.7339847919998</v>
      </c>
      <c r="AG3" s="8">
        <f>+AF3*1.15</f>
        <v>1669.4940825107997</v>
      </c>
      <c r="AH3" s="8">
        <f>+AG3*1.1</f>
        <v>1836.4434907618797</v>
      </c>
      <c r="AI3" s="8">
        <f>+AH3*1.1</f>
        <v>2020.0878398380678</v>
      </c>
      <c r="AJ3" s="8">
        <f>+AI3*1.05</f>
        <v>2121.0922318299713</v>
      </c>
      <c r="AK3" s="8">
        <f>+AJ3*1.05</f>
        <v>2227.1468434214698</v>
      </c>
    </row>
    <row r="4" spans="1:189" s="6" customFormat="1" x14ac:dyDescent="0.2">
      <c r="B4" s="7" t="s">
        <v>12</v>
      </c>
      <c r="C4" s="7">
        <v>17.8</v>
      </c>
      <c r="D4" s="7">
        <v>18.8</v>
      </c>
      <c r="E4" s="7">
        <v>20.3</v>
      </c>
      <c r="F4" s="7">
        <v>22.9</v>
      </c>
      <c r="G4" s="7">
        <v>25.4</v>
      </c>
      <c r="H4" s="7">
        <v>26.1</v>
      </c>
      <c r="I4" s="7">
        <v>31.4</v>
      </c>
      <c r="J4" s="7">
        <v>35.799999999999997</v>
      </c>
      <c r="K4" s="7">
        <v>40.4</v>
      </c>
      <c r="L4" s="7">
        <v>43.4</v>
      </c>
      <c r="M4" s="7">
        <v>42.6</v>
      </c>
      <c r="N4" s="7">
        <v>42.8</v>
      </c>
      <c r="O4" s="7">
        <v>42.8</v>
      </c>
      <c r="P4" s="7">
        <v>49.7</v>
      </c>
      <c r="Q4" s="6">
        <f>+Q3*0.44</f>
        <v>49.368000000000002</v>
      </c>
      <c r="R4" s="6">
        <v>54.216000000000001</v>
      </c>
      <c r="S4" s="6">
        <v>53.704999999999998</v>
      </c>
      <c r="Z4" s="6">
        <f>SUM(O4:R4)</f>
        <v>196.084</v>
      </c>
      <c r="AA4" s="6">
        <f>+AA3-AA5</f>
        <v>246.28321200000005</v>
      </c>
      <c r="AB4" s="6">
        <f t="shared" ref="AB4:AF4" si="3">+AB3-AB5</f>
        <v>304.92207200000001</v>
      </c>
      <c r="AC4" s="6">
        <f t="shared" si="3"/>
        <v>347.61116207999999</v>
      </c>
      <c r="AD4" s="6">
        <f t="shared" si="3"/>
        <v>406.156199904</v>
      </c>
      <c r="AE4" s="6">
        <f t="shared" si="3"/>
        <v>454.45585610879994</v>
      </c>
      <c r="AF4" s="6">
        <f t="shared" si="3"/>
        <v>508.10689467719988</v>
      </c>
      <c r="AG4" s="6">
        <f t="shared" ref="AG4" si="4">+AG3-AG5</f>
        <v>584.32292887877975</v>
      </c>
      <c r="AH4" s="6">
        <f t="shared" ref="AH4" si="5">+AH3-AH5</f>
        <v>642.75522176665777</v>
      </c>
      <c r="AI4" s="6">
        <f t="shared" ref="AI4" si="6">+AI3-AI5</f>
        <v>707.03074394332361</v>
      </c>
      <c r="AJ4" s="6">
        <f t="shared" ref="AJ4" si="7">+AJ3-AJ5</f>
        <v>742.38228114048979</v>
      </c>
      <c r="AK4" s="6">
        <f t="shared" ref="AK4" si="8">+AK3-AK5</f>
        <v>779.50139519751428</v>
      </c>
    </row>
    <row r="5" spans="1:189" s="6" customFormat="1" x14ac:dyDescent="0.2">
      <c r="B5" s="7" t="s">
        <v>13</v>
      </c>
      <c r="C5" s="7">
        <v>-1.7</v>
      </c>
      <c r="D5" s="7">
        <v>-1</v>
      </c>
      <c r="E5" s="7">
        <v>0.4</v>
      </c>
      <c r="F5" s="7">
        <v>3.5</v>
      </c>
      <c r="G5" s="7">
        <v>3.7</v>
      </c>
      <c r="H5" s="7">
        <v>7.8</v>
      </c>
      <c r="I5" s="7">
        <v>9.6999999999999993</v>
      </c>
      <c r="J5" s="7">
        <v>14.2</v>
      </c>
      <c r="K5" s="7">
        <v>16.5</v>
      </c>
      <c r="L5" s="7">
        <f t="shared" ref="L5:O5" si="9">+L3-L4</f>
        <v>16.700000000000003</v>
      </c>
      <c r="M5" s="7">
        <f t="shared" si="9"/>
        <v>24.699999999999996</v>
      </c>
      <c r="N5" s="7">
        <f t="shared" si="9"/>
        <v>31.100000000000009</v>
      </c>
      <c r="O5" s="7">
        <f t="shared" si="9"/>
        <v>39.100000000000009</v>
      </c>
      <c r="P5" s="7">
        <f>+P3-P4</f>
        <v>57.5</v>
      </c>
      <c r="Q5" s="6">
        <f>+Q3-Q4</f>
        <v>62.832000000000001</v>
      </c>
      <c r="R5" s="6">
        <f>+R3-R4</f>
        <v>63.333000000000006</v>
      </c>
      <c r="S5" s="6">
        <f>+S3-S4</f>
        <v>61.095200000000006</v>
      </c>
      <c r="Z5" s="6">
        <f>+Z3-Z4</f>
        <v>222.76500000000004</v>
      </c>
      <c r="AA5" s="6">
        <f>+AA3*0.58</f>
        <v>340.10538799999995</v>
      </c>
      <c r="AB5" s="6">
        <f>+AB3*0.6</f>
        <v>457.38310800000005</v>
      </c>
      <c r="AC5" s="6">
        <f>+AC3*0.62</f>
        <v>567.15505392000011</v>
      </c>
      <c r="AD5" s="6">
        <f>+AD3*0.63</f>
        <v>691.56325929600007</v>
      </c>
      <c r="AE5" s="6">
        <f>+AE3*0.64</f>
        <v>807.92152197120004</v>
      </c>
      <c r="AF5" s="6">
        <f>+AF3*0.65</f>
        <v>943.6270901147999</v>
      </c>
      <c r="AG5" s="6">
        <f t="shared" ref="AG5:AK5" si="10">+AG3*0.65</f>
        <v>1085.1711536320199</v>
      </c>
      <c r="AH5" s="6">
        <f t="shared" si="10"/>
        <v>1193.688268995222</v>
      </c>
      <c r="AI5" s="6">
        <f t="shared" si="10"/>
        <v>1313.0570958947442</v>
      </c>
      <c r="AJ5" s="6">
        <f t="shared" si="10"/>
        <v>1378.7099506894815</v>
      </c>
      <c r="AK5" s="6">
        <f t="shared" si="10"/>
        <v>1447.6454482239556</v>
      </c>
    </row>
    <row r="6" spans="1:189" s="6" customFormat="1" x14ac:dyDescent="0.2">
      <c r="B6" s="7" t="s">
        <v>7</v>
      </c>
      <c r="C6" s="7">
        <v>12.3</v>
      </c>
      <c r="D6" s="7">
        <v>13.2</v>
      </c>
      <c r="E6" s="7">
        <v>13.9</v>
      </c>
      <c r="F6" s="7">
        <v>15.8</v>
      </c>
      <c r="G6" s="7">
        <v>17.7</v>
      </c>
      <c r="H6" s="7">
        <v>15.9</v>
      </c>
      <c r="I6" s="7">
        <v>17.8</v>
      </c>
      <c r="J6" s="7">
        <v>19</v>
      </c>
      <c r="K6" s="7">
        <v>16.3</v>
      </c>
      <c r="L6" s="7">
        <v>14.247999999999999</v>
      </c>
      <c r="M6" s="7">
        <v>15.2</v>
      </c>
      <c r="N6" s="7">
        <v>15.535</v>
      </c>
      <c r="O6" s="7">
        <v>16.600000000000001</v>
      </c>
      <c r="P6" s="7">
        <v>16.608000000000001</v>
      </c>
      <c r="Q6" s="6">
        <f t="shared" ref="Q6:Q8" si="11">+P6</f>
        <v>16.608000000000001</v>
      </c>
      <c r="R6" s="6">
        <v>23.317</v>
      </c>
      <c r="S6" s="6">
        <v>24.079000000000001</v>
      </c>
      <c r="Z6" s="6">
        <f>SUM(O6:R6)</f>
        <v>73.13300000000001</v>
      </c>
      <c r="AA6" s="6">
        <f>+Z6*1.1</f>
        <v>80.446300000000022</v>
      </c>
      <c r="AB6" s="6">
        <f t="shared" ref="AB6:AF6" si="12">+AA6*1.1</f>
        <v>88.490930000000034</v>
      </c>
      <c r="AC6" s="6">
        <f t="shared" si="12"/>
        <v>97.340023000000045</v>
      </c>
      <c r="AD6" s="6">
        <f t="shared" si="12"/>
        <v>107.07402530000006</v>
      </c>
      <c r="AE6" s="6">
        <f t="shared" si="12"/>
        <v>117.78142783000007</v>
      </c>
      <c r="AF6" s="6">
        <f t="shared" si="12"/>
        <v>129.55957061300009</v>
      </c>
      <c r="AG6" s="6">
        <f t="shared" ref="AG6:AK6" si="13">+AF6*1.1</f>
        <v>142.5155276743001</v>
      </c>
      <c r="AH6" s="6">
        <f t="shared" si="13"/>
        <v>156.76708044173012</v>
      </c>
      <c r="AI6" s="6">
        <f t="shared" si="13"/>
        <v>172.44378848590313</v>
      </c>
      <c r="AJ6" s="6">
        <f t="shared" si="13"/>
        <v>189.68816733449344</v>
      </c>
      <c r="AK6" s="6">
        <f t="shared" si="13"/>
        <v>208.6569840679428</v>
      </c>
    </row>
    <row r="7" spans="1:189" s="6" customFormat="1" x14ac:dyDescent="0.2">
      <c r="B7" s="7" t="s">
        <v>8</v>
      </c>
      <c r="C7" s="7">
        <v>1</v>
      </c>
      <c r="D7" s="7">
        <v>1.2</v>
      </c>
      <c r="E7" s="7">
        <v>0.8</v>
      </c>
      <c r="F7" s="7">
        <v>0.7</v>
      </c>
      <c r="G7" s="7">
        <v>0.6</v>
      </c>
      <c r="H7" s="7">
        <v>0.9</v>
      </c>
      <c r="I7" s="7">
        <v>1</v>
      </c>
      <c r="J7" s="7">
        <v>1.1000000000000001</v>
      </c>
      <c r="K7" s="7">
        <v>0.9</v>
      </c>
      <c r="L7" s="7">
        <v>1.403</v>
      </c>
      <c r="M7" s="7">
        <v>0.6</v>
      </c>
      <c r="N7" s="7">
        <v>0.44500000000000001</v>
      </c>
      <c r="O7" s="7">
        <v>0.4</v>
      </c>
      <c r="P7" s="7">
        <v>0.56000000000000005</v>
      </c>
      <c r="Q7" s="6">
        <f t="shared" si="11"/>
        <v>0.56000000000000005</v>
      </c>
      <c r="R7" s="6">
        <v>0.39100000000000001</v>
      </c>
      <c r="S7" s="6">
        <v>0.82599999999999996</v>
      </c>
      <c r="Z7" s="6">
        <f>SUM(O7:R7)</f>
        <v>1.911</v>
      </c>
      <c r="AA7" s="6">
        <f t="shared" ref="AA7:AF7" si="14">+Z7*1.1</f>
        <v>2.1021000000000001</v>
      </c>
      <c r="AB7" s="6">
        <f t="shared" si="14"/>
        <v>2.3123100000000001</v>
      </c>
      <c r="AC7" s="6">
        <f t="shared" si="14"/>
        <v>2.5435410000000003</v>
      </c>
      <c r="AD7" s="6">
        <f t="shared" si="14"/>
        <v>2.7978951000000007</v>
      </c>
      <c r="AE7" s="6">
        <f t="shared" si="14"/>
        <v>3.0776846100000013</v>
      </c>
      <c r="AF7" s="6">
        <f t="shared" si="14"/>
        <v>3.3854530710000015</v>
      </c>
      <c r="AG7" s="6">
        <f t="shared" ref="AG7:AK7" si="15">+AF7*1.1</f>
        <v>3.7239983781000019</v>
      </c>
      <c r="AH7" s="6">
        <f t="shared" si="15"/>
        <v>4.0963982159100025</v>
      </c>
      <c r="AI7" s="6">
        <f t="shared" si="15"/>
        <v>4.5060380375010034</v>
      </c>
      <c r="AJ7" s="6">
        <f t="shared" si="15"/>
        <v>4.9566418412511037</v>
      </c>
      <c r="AK7" s="6">
        <f t="shared" si="15"/>
        <v>5.4523060253762141</v>
      </c>
    </row>
    <row r="8" spans="1:189" s="6" customFormat="1" x14ac:dyDescent="0.2">
      <c r="B8" s="7" t="s">
        <v>21</v>
      </c>
      <c r="C8" s="7"/>
      <c r="D8" s="7"/>
      <c r="E8" s="7"/>
      <c r="F8" s="7"/>
      <c r="G8" s="7"/>
      <c r="H8" s="7"/>
      <c r="I8" s="7"/>
      <c r="J8" s="7"/>
      <c r="K8" s="7"/>
      <c r="L8" s="7">
        <v>1.333</v>
      </c>
      <c r="M8" s="7"/>
      <c r="N8" s="7">
        <v>0.68500000000000005</v>
      </c>
      <c r="O8" s="7"/>
      <c r="P8" s="7">
        <v>0.94199999999999995</v>
      </c>
      <c r="Q8" s="6">
        <f t="shared" si="11"/>
        <v>0.94199999999999995</v>
      </c>
      <c r="R8" s="6">
        <v>1.2769999999999999</v>
      </c>
      <c r="S8" s="6">
        <v>1.286</v>
      </c>
      <c r="Z8" s="6">
        <f>SUM(O8:R8)</f>
        <v>3.1609999999999996</v>
      </c>
      <c r="AA8" s="6">
        <f t="shared" ref="AA8:AF8" si="16">+Z8*1.1</f>
        <v>3.4770999999999996</v>
      </c>
      <c r="AB8" s="6">
        <f t="shared" si="16"/>
        <v>3.8248099999999998</v>
      </c>
      <c r="AC8" s="6">
        <f t="shared" si="16"/>
        <v>4.2072910000000006</v>
      </c>
      <c r="AD8" s="6">
        <f t="shared" si="16"/>
        <v>4.6280201000000014</v>
      </c>
      <c r="AE8" s="6">
        <f t="shared" si="16"/>
        <v>5.0908221100000022</v>
      </c>
      <c r="AF8" s="6">
        <f t="shared" si="16"/>
        <v>5.599904321000003</v>
      </c>
      <c r="AG8" s="6">
        <f t="shared" ref="AG8:AK8" si="17">+AF8*1.1</f>
        <v>6.1598947531000041</v>
      </c>
      <c r="AH8" s="6">
        <f t="shared" si="17"/>
        <v>6.7758842284100052</v>
      </c>
      <c r="AI8" s="6">
        <f t="shared" si="17"/>
        <v>7.4534726512510066</v>
      </c>
      <c r="AJ8" s="6">
        <f t="shared" si="17"/>
        <v>8.1988199163761077</v>
      </c>
      <c r="AK8" s="6">
        <f t="shared" si="17"/>
        <v>9.0187019080137194</v>
      </c>
    </row>
    <row r="9" spans="1:189" s="6" customFormat="1" x14ac:dyDescent="0.2">
      <c r="B9" s="7" t="s">
        <v>22</v>
      </c>
      <c r="C9" s="7">
        <f t="shared" ref="C9:O9" si="18">+C8+C7+C6</f>
        <v>13.3</v>
      </c>
      <c r="D9" s="7">
        <f t="shared" si="18"/>
        <v>14.399999999999999</v>
      </c>
      <c r="E9" s="7">
        <f t="shared" si="18"/>
        <v>14.700000000000001</v>
      </c>
      <c r="F9" s="7">
        <f t="shared" si="18"/>
        <v>16.5</v>
      </c>
      <c r="G9" s="7">
        <f t="shared" si="18"/>
        <v>18.3</v>
      </c>
      <c r="H9" s="7">
        <f t="shared" si="18"/>
        <v>16.8</v>
      </c>
      <c r="I9" s="7">
        <f t="shared" si="18"/>
        <v>18.8</v>
      </c>
      <c r="J9" s="7">
        <f t="shared" si="18"/>
        <v>20.100000000000001</v>
      </c>
      <c r="K9" s="7">
        <f t="shared" si="18"/>
        <v>17.2</v>
      </c>
      <c r="L9" s="7">
        <f t="shared" si="18"/>
        <v>16.983999999999998</v>
      </c>
      <c r="M9" s="7">
        <f t="shared" si="18"/>
        <v>15.799999999999999</v>
      </c>
      <c r="N9" s="7">
        <f t="shared" si="18"/>
        <v>16.664999999999999</v>
      </c>
      <c r="O9" s="7">
        <f t="shared" si="18"/>
        <v>17</v>
      </c>
      <c r="P9" s="7">
        <f>+P8+P7+P6</f>
        <v>18.11</v>
      </c>
      <c r="Q9" s="7">
        <f t="shared" ref="Q9:S9" si="19">+Q8+Q7+Q6</f>
        <v>18.11</v>
      </c>
      <c r="R9" s="7">
        <f t="shared" si="19"/>
        <v>24.984999999999999</v>
      </c>
      <c r="S9" s="7">
        <f t="shared" si="19"/>
        <v>26.191000000000003</v>
      </c>
      <c r="T9" s="7"/>
      <c r="U9" s="7"/>
      <c r="V9" s="7"/>
      <c r="Z9" s="7">
        <f>+Z8+Z7+Z6</f>
        <v>78.205000000000013</v>
      </c>
      <c r="AA9" s="7">
        <f t="shared" ref="AA9:AF9" si="20">+AA8+AA7+AA6</f>
        <v>86.025500000000022</v>
      </c>
      <c r="AB9" s="7">
        <f t="shared" si="20"/>
        <v>94.62805000000003</v>
      </c>
      <c r="AC9" s="7">
        <f t="shared" si="20"/>
        <v>104.09085500000005</v>
      </c>
      <c r="AD9" s="7">
        <f t="shared" si="20"/>
        <v>114.49994050000006</v>
      </c>
      <c r="AE9" s="7">
        <f t="shared" si="20"/>
        <v>125.94993455000008</v>
      </c>
      <c r="AF9" s="7">
        <f t="shared" si="20"/>
        <v>138.54492800500009</v>
      </c>
      <c r="AG9" s="7">
        <f t="shared" ref="AG9" si="21">+AG8+AG7+AG6</f>
        <v>152.39942080550011</v>
      </c>
      <c r="AH9" s="7">
        <f t="shared" ref="AH9" si="22">+AH8+AH7+AH6</f>
        <v>167.63936288605012</v>
      </c>
      <c r="AI9" s="7">
        <f t="shared" ref="AI9" si="23">+AI8+AI7+AI6</f>
        <v>184.40329917465513</v>
      </c>
      <c r="AJ9" s="7">
        <f t="shared" ref="AJ9" si="24">+AJ8+AJ7+AJ6</f>
        <v>202.84362909212066</v>
      </c>
      <c r="AK9" s="7">
        <f t="shared" ref="AK9" si="25">+AK8+AK7+AK6</f>
        <v>223.12799200133273</v>
      </c>
    </row>
    <row r="10" spans="1:189" s="6" customFormat="1" x14ac:dyDescent="0.2">
      <c r="B10" s="7" t="s">
        <v>23</v>
      </c>
      <c r="C10" s="7">
        <f t="shared" ref="C10:O10" si="26">+C5-C9</f>
        <v>-15</v>
      </c>
      <c r="D10" s="7">
        <f t="shared" si="26"/>
        <v>-15.399999999999999</v>
      </c>
      <c r="E10" s="7">
        <f t="shared" si="26"/>
        <v>-14.3</v>
      </c>
      <c r="F10" s="7">
        <f t="shared" si="26"/>
        <v>-13</v>
      </c>
      <c r="G10" s="7">
        <f t="shared" si="26"/>
        <v>-14.600000000000001</v>
      </c>
      <c r="H10" s="7">
        <f t="shared" si="26"/>
        <v>-9</v>
      </c>
      <c r="I10" s="7">
        <f t="shared" si="26"/>
        <v>-9.1000000000000014</v>
      </c>
      <c r="J10" s="7">
        <f t="shared" si="26"/>
        <v>-5.9000000000000021</v>
      </c>
      <c r="K10" s="7">
        <f t="shared" si="26"/>
        <v>-0.69999999999999929</v>
      </c>
      <c r="L10" s="7">
        <f t="shared" si="26"/>
        <v>-0.28399999999999537</v>
      </c>
      <c r="M10" s="7">
        <f t="shared" si="26"/>
        <v>8.8999999999999968</v>
      </c>
      <c r="N10" s="7">
        <f t="shared" si="26"/>
        <v>14.435000000000009</v>
      </c>
      <c r="O10" s="7">
        <f t="shared" si="26"/>
        <v>22.100000000000009</v>
      </c>
      <c r="P10" s="7">
        <f>+P5-P9</f>
        <v>39.39</v>
      </c>
      <c r="Q10" s="7">
        <f t="shared" ref="Q10:S10" si="27">+Q5-Q9</f>
        <v>44.722000000000001</v>
      </c>
      <c r="R10" s="7">
        <f t="shared" si="27"/>
        <v>38.348000000000006</v>
      </c>
      <c r="S10" s="7">
        <f t="shared" si="27"/>
        <v>34.904200000000003</v>
      </c>
      <c r="T10" s="7"/>
      <c r="U10" s="7"/>
      <c r="V10" s="7"/>
      <c r="Z10" s="7">
        <f>+Z5-Z9</f>
        <v>144.56000000000003</v>
      </c>
      <c r="AA10" s="7">
        <f t="shared" ref="AA10:AF10" si="28">+AA5-AA9</f>
        <v>254.07988799999993</v>
      </c>
      <c r="AB10" s="7">
        <f t="shared" si="28"/>
        <v>362.75505800000002</v>
      </c>
      <c r="AC10" s="7">
        <f t="shared" si="28"/>
        <v>463.06419892000008</v>
      </c>
      <c r="AD10" s="7">
        <f t="shared" si="28"/>
        <v>577.06331879599998</v>
      </c>
      <c r="AE10" s="7">
        <f t="shared" si="28"/>
        <v>681.97158742119996</v>
      </c>
      <c r="AF10" s="7">
        <f t="shared" si="28"/>
        <v>805.08216210979981</v>
      </c>
      <c r="AG10" s="7">
        <f t="shared" ref="AG10" si="29">+AG5-AG9</f>
        <v>932.77173282651984</v>
      </c>
      <c r="AH10" s="7">
        <f t="shared" ref="AH10" si="30">+AH5-AH9</f>
        <v>1026.0489061091719</v>
      </c>
      <c r="AI10" s="7">
        <f t="shared" ref="AI10" si="31">+AI5-AI9</f>
        <v>1128.6537967200891</v>
      </c>
      <c r="AJ10" s="7">
        <f t="shared" ref="AJ10" si="32">+AJ5-AJ9</f>
        <v>1175.8663215973609</v>
      </c>
      <c r="AK10" s="7">
        <f t="shared" ref="AK10" si="33">+AK5-AK9</f>
        <v>1224.5174562226227</v>
      </c>
    </row>
    <row r="11" spans="1:189" s="6" customFormat="1" x14ac:dyDescent="0.2">
      <c r="B11" s="7" t="s">
        <v>24</v>
      </c>
      <c r="C11" s="7">
        <v>-3.2</v>
      </c>
      <c r="D11" s="7">
        <v>-3.3</v>
      </c>
      <c r="E11" s="7">
        <v>-3.3</v>
      </c>
      <c r="F11" s="7">
        <v>-3.5</v>
      </c>
      <c r="G11" s="7">
        <v>-10.199999999999999</v>
      </c>
      <c r="H11" s="7">
        <v>-4.5999999999999996</v>
      </c>
      <c r="I11" s="7">
        <v>-5.6</v>
      </c>
      <c r="J11" s="7">
        <v>-6.2</v>
      </c>
      <c r="K11" s="7">
        <v>-6</v>
      </c>
      <c r="L11" s="7">
        <v>-5.9</v>
      </c>
      <c r="M11" s="7">
        <v>-6.1</v>
      </c>
      <c r="N11" s="7">
        <v>-31.9</v>
      </c>
      <c r="O11" s="7">
        <v>-3.4</v>
      </c>
      <c r="P11" s="7">
        <v>-3.4</v>
      </c>
      <c r="R11" s="6">
        <f>-2.879+0.598</f>
        <v>-2.2810000000000001</v>
      </c>
      <c r="S11" s="6">
        <v>-1.431</v>
      </c>
      <c r="AA11" s="6">
        <f t="shared" ref="AA11:AK11" si="34">+Z21*$AK$23</f>
        <v>0</v>
      </c>
      <c r="AB11" s="6">
        <f t="shared" si="34"/>
        <v>9.5279957999999976</v>
      </c>
      <c r="AC11" s="6">
        <f t="shared" si="34"/>
        <v>23.488610317499997</v>
      </c>
      <c r="AD11" s="6">
        <f t="shared" si="34"/>
        <v>41.734340663906252</v>
      </c>
      <c r="AE11" s="6">
        <f t="shared" si="34"/>
        <v>64.939252893652721</v>
      </c>
      <c r="AF11" s="6">
        <f t="shared" si="34"/>
        <v>92.948409405459699</v>
      </c>
      <c r="AG11" s="6">
        <f t="shared" si="34"/>
        <v>126.62455583728193</v>
      </c>
      <c r="AH11" s="6">
        <f t="shared" si="34"/>
        <v>166.35191666217449</v>
      </c>
      <c r="AI11" s="6">
        <f t="shared" si="34"/>
        <v>211.06694751609996</v>
      </c>
      <c r="AJ11" s="6">
        <f t="shared" si="34"/>
        <v>261.30647542495706</v>
      </c>
      <c r="AK11" s="6">
        <f t="shared" si="34"/>
        <v>315.20045531329401</v>
      </c>
    </row>
    <row r="12" spans="1:189" s="6" customFormat="1" x14ac:dyDescent="0.2">
      <c r="B12" s="7" t="s">
        <v>25</v>
      </c>
      <c r="C12" s="7">
        <v>-18.399999999999999</v>
      </c>
      <c r="D12" s="7">
        <v>-18.899999999999999</v>
      </c>
      <c r="E12" s="7">
        <v>-17.7</v>
      </c>
      <c r="F12" s="7">
        <v>-16.600000000000001</v>
      </c>
      <c r="G12" s="7">
        <v>-25</v>
      </c>
      <c r="H12" s="7">
        <v>-13.8</v>
      </c>
      <c r="I12" s="7">
        <v>-14.9</v>
      </c>
      <c r="J12" s="7">
        <v>-12.2</v>
      </c>
      <c r="K12" s="7">
        <v>-6.8</v>
      </c>
      <c r="L12" s="7">
        <f t="shared" ref="L12:O12" si="35">+L10+L11</f>
        <v>-6.1839999999999957</v>
      </c>
      <c r="M12" s="7">
        <f t="shared" si="35"/>
        <v>2.7999999999999972</v>
      </c>
      <c r="N12" s="7">
        <f t="shared" si="35"/>
        <v>-17.464999999999989</v>
      </c>
      <c r="O12" s="7">
        <f t="shared" si="35"/>
        <v>18.70000000000001</v>
      </c>
      <c r="P12" s="7">
        <f>+P10+P11</f>
        <v>35.99</v>
      </c>
      <c r="Q12" s="7">
        <f>+Q10+Q11</f>
        <v>44.722000000000001</v>
      </c>
      <c r="R12" s="7">
        <f>+R10+R11</f>
        <v>36.067000000000007</v>
      </c>
      <c r="S12" s="7">
        <f>+S10+S11</f>
        <v>33.473200000000006</v>
      </c>
      <c r="T12" s="7"/>
      <c r="U12" s="7"/>
      <c r="V12" s="7"/>
      <c r="Z12" s="6">
        <f>+Z10+Z11</f>
        <v>144.56000000000003</v>
      </c>
      <c r="AA12" s="6">
        <f t="shared" ref="AA12:AF12" si="36">+AA10+AA11</f>
        <v>254.07988799999993</v>
      </c>
      <c r="AB12" s="6">
        <f t="shared" si="36"/>
        <v>372.2830538</v>
      </c>
      <c r="AC12" s="6">
        <f t="shared" si="36"/>
        <v>486.55280923750007</v>
      </c>
      <c r="AD12" s="6">
        <f t="shared" si="36"/>
        <v>618.79765945990619</v>
      </c>
      <c r="AE12" s="6">
        <f t="shared" si="36"/>
        <v>746.91084031485263</v>
      </c>
      <c r="AF12" s="6">
        <f t="shared" si="36"/>
        <v>898.03057151525945</v>
      </c>
      <c r="AG12" s="6">
        <f t="shared" ref="AG12" si="37">+AG10+AG11</f>
        <v>1059.3962886638017</v>
      </c>
      <c r="AH12" s="6">
        <f t="shared" ref="AH12" si="38">+AH10+AH11</f>
        <v>1192.4008227713464</v>
      </c>
      <c r="AI12" s="6">
        <f t="shared" ref="AI12" si="39">+AI10+AI11</f>
        <v>1339.7207442361891</v>
      </c>
      <c r="AJ12" s="6">
        <f t="shared" ref="AJ12" si="40">+AJ10+AJ11</f>
        <v>1437.1727970223178</v>
      </c>
      <c r="AK12" s="6">
        <f t="shared" ref="AK12" si="41">+AK10+AK11</f>
        <v>1539.7179115359168</v>
      </c>
    </row>
    <row r="13" spans="1:189" s="6" customFormat="1" x14ac:dyDescent="0.2">
      <c r="B13" s="7" t="s">
        <v>26</v>
      </c>
      <c r="C13" s="7">
        <v>0</v>
      </c>
      <c r="D13" s="7">
        <v>0</v>
      </c>
      <c r="E13" s="7">
        <v>0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0.6</v>
      </c>
      <c r="P13" s="7">
        <v>3.8</v>
      </c>
      <c r="R13" s="6">
        <v>0</v>
      </c>
      <c r="S13" s="6">
        <v>6.5460000000000003</v>
      </c>
      <c r="AA13" s="6">
        <f>+AA12*0.25</f>
        <v>63.519971999999981</v>
      </c>
      <c r="AB13" s="6">
        <f t="shared" ref="AB13:AF13" si="42">+AB12*0.25</f>
        <v>93.070763450000001</v>
      </c>
      <c r="AC13" s="6">
        <f t="shared" si="42"/>
        <v>121.63820230937502</v>
      </c>
      <c r="AD13" s="6">
        <f t="shared" si="42"/>
        <v>154.69941486497655</v>
      </c>
      <c r="AE13" s="6">
        <f t="shared" si="42"/>
        <v>186.72771007871316</v>
      </c>
      <c r="AF13" s="6">
        <f t="shared" si="42"/>
        <v>224.50764287881486</v>
      </c>
      <c r="AG13" s="6">
        <f t="shared" ref="AG13" si="43">+AG12*0.25</f>
        <v>264.84907216595042</v>
      </c>
      <c r="AH13" s="6">
        <f t="shared" ref="AH13" si="44">+AH12*0.25</f>
        <v>298.1002056928366</v>
      </c>
      <c r="AI13" s="6">
        <f t="shared" ref="AI13" si="45">+AI12*0.25</f>
        <v>334.93018605904729</v>
      </c>
      <c r="AJ13" s="6">
        <f t="shared" ref="AJ13" si="46">+AJ12*0.25</f>
        <v>359.29319925557945</v>
      </c>
      <c r="AK13" s="6">
        <f t="shared" ref="AK13" si="47">+AK12*0.25</f>
        <v>384.92947788397919</v>
      </c>
    </row>
    <row r="14" spans="1:189" s="6" customFormat="1" x14ac:dyDescent="0.2">
      <c r="B14" s="7" t="s">
        <v>9</v>
      </c>
      <c r="C14" s="7">
        <f t="shared" ref="C14:O14" si="48">+C12-C13</f>
        <v>-18.399999999999999</v>
      </c>
      <c r="D14" s="7">
        <f t="shared" si="48"/>
        <v>-18.899999999999999</v>
      </c>
      <c r="E14" s="7">
        <f t="shared" si="48"/>
        <v>-17.7</v>
      </c>
      <c r="F14" s="7">
        <f t="shared" si="48"/>
        <v>-16.600000000000001</v>
      </c>
      <c r="G14" s="7">
        <f t="shared" si="48"/>
        <v>-25</v>
      </c>
      <c r="H14" s="7">
        <f t="shared" si="48"/>
        <v>-13.8</v>
      </c>
      <c r="I14" s="7">
        <f t="shared" ref="I14" si="49">+I12-I13</f>
        <v>-14.9</v>
      </c>
      <c r="J14" s="7">
        <f t="shared" ref="J14" si="50">+J12-J13</f>
        <v>-12.2</v>
      </c>
      <c r="K14" s="7">
        <f t="shared" ref="K14" si="51">+K12-K13</f>
        <v>-6.8</v>
      </c>
      <c r="L14" s="7">
        <f t="shared" ref="L14" si="52">+L12-L13</f>
        <v>-6.1839999999999957</v>
      </c>
      <c r="M14" s="7">
        <f>+M12-M13</f>
        <v>2.7999999999999972</v>
      </c>
      <c r="N14" s="7">
        <f t="shared" ref="N14" si="53">+N12-N13</f>
        <v>-17.464999999999989</v>
      </c>
      <c r="O14" s="7">
        <f t="shared" si="48"/>
        <v>18.100000000000009</v>
      </c>
      <c r="P14" s="7">
        <f>+P12-P13</f>
        <v>32.190000000000005</v>
      </c>
      <c r="Q14" s="7">
        <f>+Q12-Q13</f>
        <v>44.722000000000001</v>
      </c>
      <c r="R14" s="7">
        <f>+R12-R13</f>
        <v>36.067000000000007</v>
      </c>
      <c r="S14" s="7">
        <f>+S12-S13</f>
        <v>26.927200000000006</v>
      </c>
      <c r="T14" s="7"/>
      <c r="U14" s="7"/>
      <c r="V14" s="7"/>
      <c r="AA14" s="6">
        <f>+AA12-AA13</f>
        <v>190.55991599999993</v>
      </c>
      <c r="AB14" s="6">
        <f t="shared" ref="AB14:AF14" si="54">+AB12-AB13</f>
        <v>279.21229034999999</v>
      </c>
      <c r="AC14" s="6">
        <f t="shared" si="54"/>
        <v>364.91460692812507</v>
      </c>
      <c r="AD14" s="6">
        <f t="shared" si="54"/>
        <v>464.09824459492961</v>
      </c>
      <c r="AE14" s="6">
        <f t="shared" si="54"/>
        <v>560.1831302361395</v>
      </c>
      <c r="AF14" s="6">
        <f t="shared" si="54"/>
        <v>673.52292863644459</v>
      </c>
      <c r="AG14" s="6">
        <f t="shared" ref="AG14" si="55">+AG12-AG13</f>
        <v>794.5472164978512</v>
      </c>
      <c r="AH14" s="6">
        <f t="shared" ref="AH14" si="56">+AH12-AH13</f>
        <v>894.30061707850973</v>
      </c>
      <c r="AI14" s="6">
        <f t="shared" ref="AI14" si="57">+AI12-AI13</f>
        <v>1004.7905581771419</v>
      </c>
      <c r="AJ14" s="6">
        <f t="shared" ref="AJ14" si="58">+AJ12-AJ13</f>
        <v>1077.8795977667382</v>
      </c>
      <c r="AK14" s="6">
        <f t="shared" ref="AK14" si="59">+AK12-AK13</f>
        <v>1154.7884336519376</v>
      </c>
      <c r="AL14" s="6">
        <f t="shared" ref="AL14:BQ14" si="60">+AK14*(1+$AK$25)</f>
        <v>1166.336317988457</v>
      </c>
      <c r="AM14" s="6">
        <f t="shared" si="60"/>
        <v>1177.9996811683416</v>
      </c>
      <c r="AN14" s="6">
        <f t="shared" si="60"/>
        <v>1189.7796779800251</v>
      </c>
      <c r="AO14" s="6">
        <f t="shared" si="60"/>
        <v>1201.6774747598254</v>
      </c>
      <c r="AP14" s="6">
        <f t="shared" si="60"/>
        <v>1213.6942495074236</v>
      </c>
      <c r="AQ14" s="6">
        <f t="shared" si="60"/>
        <v>1225.8311920024978</v>
      </c>
      <c r="AR14" s="6">
        <f t="shared" si="60"/>
        <v>1238.0895039225227</v>
      </c>
      <c r="AS14" s="6">
        <f t="shared" si="60"/>
        <v>1250.4703989617478</v>
      </c>
      <c r="AT14" s="6">
        <f t="shared" si="60"/>
        <v>1262.9751029513652</v>
      </c>
      <c r="AU14" s="6">
        <f t="shared" si="60"/>
        <v>1275.6048539808789</v>
      </c>
      <c r="AV14" s="6">
        <f t="shared" si="60"/>
        <v>1288.3609025206877</v>
      </c>
      <c r="AW14" s="6">
        <f t="shared" si="60"/>
        <v>1301.2445115458945</v>
      </c>
      <c r="AX14" s="6">
        <f t="shared" si="60"/>
        <v>1314.2569566613536</v>
      </c>
      <c r="AY14" s="6">
        <f t="shared" si="60"/>
        <v>1327.399526227967</v>
      </c>
      <c r="AZ14" s="6">
        <f t="shared" si="60"/>
        <v>1340.6735214902467</v>
      </c>
      <c r="BA14" s="6">
        <f t="shared" si="60"/>
        <v>1354.0802567051492</v>
      </c>
      <c r="BB14" s="6">
        <f t="shared" si="60"/>
        <v>1367.6210592722007</v>
      </c>
      <c r="BC14" s="6">
        <f t="shared" si="60"/>
        <v>1381.2972698649228</v>
      </c>
      <c r="BD14" s="6">
        <f t="shared" si="60"/>
        <v>1395.110242563572</v>
      </c>
      <c r="BE14" s="6">
        <f t="shared" si="60"/>
        <v>1409.0613449892078</v>
      </c>
      <c r="BF14" s="6">
        <f t="shared" si="60"/>
        <v>1423.1519584390999</v>
      </c>
      <c r="BG14" s="6">
        <f t="shared" si="60"/>
        <v>1437.3834780234909</v>
      </c>
      <c r="BH14" s="6">
        <f t="shared" si="60"/>
        <v>1451.7573128037259</v>
      </c>
      <c r="BI14" s="6">
        <f t="shared" si="60"/>
        <v>1466.2748859317633</v>
      </c>
      <c r="BJ14" s="6">
        <f t="shared" si="60"/>
        <v>1480.9376347910809</v>
      </c>
      <c r="BK14" s="6">
        <f t="shared" si="60"/>
        <v>1495.7470111389916</v>
      </c>
      <c r="BL14" s="6">
        <f t="shared" si="60"/>
        <v>1510.7044812503816</v>
      </c>
      <c r="BM14" s="6">
        <f t="shared" si="60"/>
        <v>1525.8115260628854</v>
      </c>
      <c r="BN14" s="6">
        <f t="shared" si="60"/>
        <v>1541.0696413235141</v>
      </c>
      <c r="BO14" s="6">
        <f t="shared" si="60"/>
        <v>1556.4803377367493</v>
      </c>
      <c r="BP14" s="6">
        <f t="shared" si="60"/>
        <v>1572.0451411141169</v>
      </c>
      <c r="BQ14" s="6">
        <f t="shared" si="60"/>
        <v>1587.7655925252579</v>
      </c>
      <c r="BR14" s="6">
        <f t="shared" ref="BR14:CW14" si="61">+BQ14*(1+$AK$25)</f>
        <v>1603.6432484505106</v>
      </c>
      <c r="BS14" s="6">
        <f t="shared" si="61"/>
        <v>1619.6796809350158</v>
      </c>
      <c r="BT14" s="6">
        <f t="shared" si="61"/>
        <v>1635.876477744366</v>
      </c>
      <c r="BU14" s="6">
        <f t="shared" si="61"/>
        <v>1652.2352425218096</v>
      </c>
      <c r="BV14" s="6">
        <f t="shared" si="61"/>
        <v>1668.7575949470277</v>
      </c>
      <c r="BW14" s="6">
        <f t="shared" si="61"/>
        <v>1685.445170896498</v>
      </c>
      <c r="BX14" s="6">
        <f t="shared" si="61"/>
        <v>1702.2996226054629</v>
      </c>
      <c r="BY14" s="6">
        <f t="shared" si="61"/>
        <v>1719.3226188315175</v>
      </c>
      <c r="BZ14" s="6">
        <f t="shared" si="61"/>
        <v>1736.5158450198328</v>
      </c>
      <c r="CA14" s="6">
        <f t="shared" si="61"/>
        <v>1753.8810034700311</v>
      </c>
      <c r="CB14" s="6">
        <f t="shared" si="61"/>
        <v>1771.4198135047316</v>
      </c>
      <c r="CC14" s="6">
        <f t="shared" si="61"/>
        <v>1789.1340116397789</v>
      </c>
      <c r="CD14" s="6">
        <f t="shared" si="61"/>
        <v>1807.0253517561766</v>
      </c>
      <c r="CE14" s="6">
        <f t="shared" si="61"/>
        <v>1825.0956052737383</v>
      </c>
      <c r="CF14" s="6">
        <f t="shared" si="61"/>
        <v>1843.3465613264757</v>
      </c>
      <c r="CG14" s="6">
        <f t="shared" si="61"/>
        <v>1861.7800269397405</v>
      </c>
      <c r="CH14" s="6">
        <f t="shared" si="61"/>
        <v>1880.3978272091379</v>
      </c>
      <c r="CI14" s="6">
        <f t="shared" si="61"/>
        <v>1899.2018054812293</v>
      </c>
      <c r="CJ14" s="6">
        <f t="shared" si="61"/>
        <v>1918.1938235360415</v>
      </c>
      <c r="CK14" s="6">
        <f t="shared" si="61"/>
        <v>1937.3757617714018</v>
      </c>
      <c r="CL14" s="6">
        <f t="shared" si="61"/>
        <v>1956.7495193891159</v>
      </c>
      <c r="CM14" s="6">
        <f t="shared" si="61"/>
        <v>1976.317014583007</v>
      </c>
      <c r="CN14" s="6">
        <f t="shared" si="61"/>
        <v>1996.0801847288371</v>
      </c>
      <c r="CO14" s="6">
        <f t="shared" si="61"/>
        <v>2016.0409865761255</v>
      </c>
      <c r="CP14" s="6">
        <f t="shared" si="61"/>
        <v>2036.2013964418868</v>
      </c>
      <c r="CQ14" s="6">
        <f t="shared" si="61"/>
        <v>2056.5634104063056</v>
      </c>
      <c r="CR14" s="6">
        <f t="shared" si="61"/>
        <v>2077.1290445103687</v>
      </c>
      <c r="CS14" s="6">
        <f t="shared" si="61"/>
        <v>2097.9003349554723</v>
      </c>
      <c r="CT14" s="6">
        <f t="shared" si="61"/>
        <v>2118.879338305027</v>
      </c>
      <c r="CU14" s="6">
        <f t="shared" si="61"/>
        <v>2140.0681316880773</v>
      </c>
      <c r="CV14" s="6">
        <f t="shared" si="61"/>
        <v>2161.4688130049581</v>
      </c>
      <c r="CW14" s="6">
        <f t="shared" si="61"/>
        <v>2183.0835011350077</v>
      </c>
      <c r="CX14" s="6">
        <f t="shared" ref="CX14:EC14" si="62">+CW14*(1+$AK$25)</f>
        <v>2204.914336146358</v>
      </c>
      <c r="CY14" s="6">
        <f t="shared" si="62"/>
        <v>2226.9634795078214</v>
      </c>
      <c r="CZ14" s="6">
        <f t="shared" si="62"/>
        <v>2249.2331143028996</v>
      </c>
      <c r="DA14" s="6">
        <f t="shared" si="62"/>
        <v>2271.7254454459285</v>
      </c>
      <c r="DB14" s="6">
        <f t="shared" si="62"/>
        <v>2294.4426999003877</v>
      </c>
      <c r="DC14" s="6">
        <f t="shared" si="62"/>
        <v>2317.3871268993917</v>
      </c>
      <c r="DD14" s="6">
        <f t="shared" si="62"/>
        <v>2340.5609981683856</v>
      </c>
      <c r="DE14" s="6">
        <f t="shared" si="62"/>
        <v>2363.9666081500695</v>
      </c>
      <c r="DF14" s="6">
        <f t="shared" si="62"/>
        <v>2387.6062742315703</v>
      </c>
      <c r="DG14" s="6">
        <f t="shared" si="62"/>
        <v>2411.482336973886</v>
      </c>
      <c r="DH14" s="6">
        <f t="shared" si="62"/>
        <v>2435.5971603436251</v>
      </c>
      <c r="DI14" s="6">
        <f t="shared" si="62"/>
        <v>2459.9531319470611</v>
      </c>
      <c r="DJ14" s="6">
        <f t="shared" si="62"/>
        <v>2484.5526632665319</v>
      </c>
      <c r="DK14" s="6">
        <f t="shared" si="62"/>
        <v>2509.3981898991974</v>
      </c>
      <c r="DL14" s="6">
        <f t="shared" si="62"/>
        <v>2534.4921717981892</v>
      </c>
      <c r="DM14" s="6">
        <f t="shared" si="62"/>
        <v>2559.8370935161711</v>
      </c>
      <c r="DN14" s="6">
        <f t="shared" si="62"/>
        <v>2585.4354644513328</v>
      </c>
      <c r="DO14" s="6">
        <f t="shared" si="62"/>
        <v>2611.2898190958463</v>
      </c>
      <c r="DP14" s="6">
        <f t="shared" si="62"/>
        <v>2637.4027172868045</v>
      </c>
      <c r="DQ14" s="6">
        <f t="shared" si="62"/>
        <v>2663.7767444596725</v>
      </c>
      <c r="DR14" s="6">
        <f t="shared" si="62"/>
        <v>2690.4145119042691</v>
      </c>
      <c r="DS14" s="6">
        <f t="shared" si="62"/>
        <v>2717.318657023312</v>
      </c>
      <c r="DT14" s="6">
        <f t="shared" si="62"/>
        <v>2744.4918435935451</v>
      </c>
      <c r="DU14" s="6">
        <f t="shared" si="62"/>
        <v>2771.9367620294806</v>
      </c>
      <c r="DV14" s="6">
        <f t="shared" si="62"/>
        <v>2799.6561296497753</v>
      </c>
      <c r="DW14" s="6">
        <f t="shared" si="62"/>
        <v>2827.6526909462732</v>
      </c>
      <c r="DX14" s="6">
        <f t="shared" si="62"/>
        <v>2855.9292178557362</v>
      </c>
      <c r="DY14" s="6">
        <f t="shared" si="62"/>
        <v>2884.4885100342935</v>
      </c>
      <c r="DZ14" s="6">
        <f t="shared" si="62"/>
        <v>2913.3333951346367</v>
      </c>
      <c r="EA14" s="6">
        <f t="shared" si="62"/>
        <v>2942.4667290859829</v>
      </c>
      <c r="EB14" s="6">
        <f t="shared" si="62"/>
        <v>2971.8913963768427</v>
      </c>
      <c r="EC14" s="6">
        <f t="shared" si="62"/>
        <v>3001.6103103406112</v>
      </c>
      <c r="ED14" s="6">
        <f t="shared" ref="ED14:FI14" si="63">+EC14*(1+$AK$25)</f>
        <v>3031.6264134440175</v>
      </c>
      <c r="EE14" s="6">
        <f t="shared" si="63"/>
        <v>3061.9426775784577</v>
      </c>
      <c r="EF14" s="6">
        <f t="shared" si="63"/>
        <v>3092.5621043542424</v>
      </c>
      <c r="EG14" s="6">
        <f t="shared" si="63"/>
        <v>3123.4877253977847</v>
      </c>
      <c r="EH14" s="6">
        <f t="shared" si="63"/>
        <v>3154.7226026517628</v>
      </c>
      <c r="EI14" s="6">
        <f t="shared" si="63"/>
        <v>3186.2698286782806</v>
      </c>
      <c r="EJ14" s="6">
        <f t="shared" si="63"/>
        <v>3218.1325269650633</v>
      </c>
      <c r="EK14" s="6">
        <f t="shared" si="63"/>
        <v>3250.313852234714</v>
      </c>
      <c r="EL14" s="6">
        <f t="shared" si="63"/>
        <v>3282.8169907570609</v>
      </c>
      <c r="EM14" s="6">
        <f t="shared" si="63"/>
        <v>3315.6451606646315</v>
      </c>
      <c r="EN14" s="6">
        <f t="shared" si="63"/>
        <v>3348.8016122712779</v>
      </c>
      <c r="EO14" s="6">
        <f t="shared" si="63"/>
        <v>3382.2896283939908</v>
      </c>
      <c r="EP14" s="6">
        <f t="shared" si="63"/>
        <v>3416.1125246779307</v>
      </c>
      <c r="EQ14" s="6">
        <f t="shared" si="63"/>
        <v>3450.2736499247098</v>
      </c>
      <c r="ER14" s="6">
        <f t="shared" si="63"/>
        <v>3484.7763864239569</v>
      </c>
      <c r="ES14" s="6">
        <f t="shared" si="63"/>
        <v>3519.6241502881967</v>
      </c>
      <c r="ET14" s="6">
        <f t="shared" si="63"/>
        <v>3554.8203917910787</v>
      </c>
      <c r="EU14" s="6">
        <f t="shared" si="63"/>
        <v>3590.3685957089897</v>
      </c>
      <c r="EV14" s="6">
        <f t="shared" si="63"/>
        <v>3626.2722816660798</v>
      </c>
      <c r="EW14" s="6">
        <f t="shared" si="63"/>
        <v>3662.5350044827405</v>
      </c>
      <c r="EX14" s="6">
        <f t="shared" si="63"/>
        <v>3699.160354527568</v>
      </c>
      <c r="EY14" s="6">
        <f t="shared" si="63"/>
        <v>3736.1519580728436</v>
      </c>
      <c r="EZ14" s="6">
        <f t="shared" si="63"/>
        <v>3773.513477653572</v>
      </c>
      <c r="FA14" s="6">
        <f t="shared" si="63"/>
        <v>3811.2486124301076</v>
      </c>
      <c r="FB14" s="6">
        <f t="shared" si="63"/>
        <v>3849.3610985544087</v>
      </c>
      <c r="FC14" s="6">
        <f t="shared" si="63"/>
        <v>3887.8547095399526</v>
      </c>
      <c r="FD14" s="6">
        <f t="shared" si="63"/>
        <v>3926.7332566353521</v>
      </c>
      <c r="FE14" s="6">
        <f t="shared" si="63"/>
        <v>3966.0005892017057</v>
      </c>
      <c r="FF14" s="6">
        <f t="shared" si="63"/>
        <v>4005.6605950937228</v>
      </c>
      <c r="FG14" s="6">
        <f t="shared" si="63"/>
        <v>4045.7172010446602</v>
      </c>
      <c r="FH14" s="6">
        <f t="shared" si="63"/>
        <v>4086.174373055107</v>
      </c>
      <c r="FI14" s="6">
        <f t="shared" si="63"/>
        <v>4127.0361167856581</v>
      </c>
      <c r="FJ14" s="6">
        <f t="shared" ref="FJ14:GG14" si="64">+FI14*(1+$AK$25)</f>
        <v>4168.3064779535143</v>
      </c>
      <c r="FK14" s="6">
        <f t="shared" si="64"/>
        <v>4209.9895427330493</v>
      </c>
      <c r="FL14" s="6">
        <f t="shared" si="64"/>
        <v>4252.0894381603803</v>
      </c>
      <c r="FM14" s="6">
        <f t="shared" si="64"/>
        <v>4294.6103325419845</v>
      </c>
      <c r="FN14" s="6">
        <f t="shared" si="64"/>
        <v>4337.5564358674046</v>
      </c>
      <c r="FO14" s="6">
        <f t="shared" si="64"/>
        <v>4380.9320002260783</v>
      </c>
      <c r="FP14" s="6">
        <f t="shared" si="64"/>
        <v>4424.7413202283387</v>
      </c>
      <c r="FQ14" s="6">
        <f t="shared" si="64"/>
        <v>4468.9887334306222</v>
      </c>
      <c r="FR14" s="6">
        <f t="shared" si="64"/>
        <v>4513.6786207649284</v>
      </c>
      <c r="FS14" s="6">
        <f t="shared" si="64"/>
        <v>4558.8154069725779</v>
      </c>
      <c r="FT14" s="6">
        <f t="shared" si="64"/>
        <v>4604.4035610423034</v>
      </c>
      <c r="FU14" s="6">
        <f t="shared" si="64"/>
        <v>4650.4475966527261</v>
      </c>
      <c r="FV14" s="6">
        <f t="shared" si="64"/>
        <v>4696.9520726192532</v>
      </c>
      <c r="FW14" s="6">
        <f t="shared" si="64"/>
        <v>4743.9215933454461</v>
      </c>
      <c r="FX14" s="6">
        <f t="shared" si="64"/>
        <v>4791.3608092789009</v>
      </c>
      <c r="FY14" s="6">
        <f t="shared" si="64"/>
        <v>4839.2744173716901</v>
      </c>
      <c r="FZ14" s="6">
        <f t="shared" si="64"/>
        <v>4887.667161545407</v>
      </c>
      <c r="GA14" s="6">
        <f t="shared" si="64"/>
        <v>4936.5438331608611</v>
      </c>
      <c r="GB14" s="6">
        <f t="shared" si="64"/>
        <v>4985.90927149247</v>
      </c>
      <c r="GC14" s="6">
        <f t="shared" si="64"/>
        <v>5035.7683642073944</v>
      </c>
      <c r="GD14" s="6">
        <f t="shared" si="64"/>
        <v>5086.1260478494687</v>
      </c>
      <c r="GE14" s="6">
        <f t="shared" si="64"/>
        <v>5136.9873083279635</v>
      </c>
      <c r="GF14" s="6">
        <f t="shared" si="64"/>
        <v>5188.3571814112429</v>
      </c>
      <c r="GG14" s="6">
        <f t="shared" si="64"/>
        <v>5240.2407532253555</v>
      </c>
    </row>
    <row r="15" spans="1:189" s="6" customFormat="1" x14ac:dyDescent="0.2">
      <c r="B15" s="7" t="s">
        <v>29</v>
      </c>
      <c r="C15" s="7"/>
      <c r="D15" s="7"/>
      <c r="E15" s="7"/>
      <c r="F15" s="7"/>
      <c r="G15" s="7"/>
      <c r="H15" s="7"/>
      <c r="I15" s="7"/>
      <c r="J15" s="7"/>
      <c r="K15" s="7"/>
      <c r="L15" s="10">
        <f>+L14/L16</f>
        <v>-2.7770369027922959E-2</v>
      </c>
      <c r="M15" s="7"/>
      <c r="N15" s="7"/>
      <c r="O15" s="7"/>
      <c r="P15" s="10">
        <f>+P14/P16</f>
        <v>0.13292476030762765</v>
      </c>
      <c r="Q15" s="10">
        <f>+Q14/Q16</f>
        <v>0.18467415751717065</v>
      </c>
      <c r="R15" s="10">
        <f>+R14/R16</f>
        <v>0.14667305379890105</v>
      </c>
      <c r="S15" s="10">
        <f>+S14/S16</f>
        <v>0.1100523201363761</v>
      </c>
      <c r="AA15" s="13">
        <f>+AA14/AA16</f>
        <v>0.78689441312648789</v>
      </c>
      <c r="AB15" s="13">
        <f t="shared" ref="AB15:AF15" si="65">+AB14/AB16</f>
        <v>1.1529738045889244</v>
      </c>
      <c r="AC15" s="13">
        <f t="shared" si="65"/>
        <v>1.5068712848298595</v>
      </c>
      <c r="AD15" s="13">
        <f t="shared" si="65"/>
        <v>1.9164382703315239</v>
      </c>
      <c r="AE15" s="13">
        <f t="shared" si="65"/>
        <v>2.313209329450618</v>
      </c>
      <c r="AF15" s="13">
        <f t="shared" si="65"/>
        <v>2.7812324899251561</v>
      </c>
      <c r="AG15" s="13">
        <f t="shared" ref="AG15" si="66">+AG14/AG16</f>
        <v>3.2809878318132832</v>
      </c>
      <c r="AH15" s="13">
        <f t="shared" ref="AH15" si="67">+AH14/AH16</f>
        <v>3.6929075852166631</v>
      </c>
      <c r="AI15" s="13">
        <f t="shared" ref="AI15" si="68">+AI14/AI16</f>
        <v>4.1491626003437077</v>
      </c>
      <c r="AJ15" s="13">
        <f t="shared" ref="AJ15" si="69">+AJ14/AJ16</f>
        <v>4.4509750597584885</v>
      </c>
      <c r="AK15" s="13">
        <f t="shared" ref="AK15" si="70">+AK14/AK16</f>
        <v>4.7685609117491321</v>
      </c>
    </row>
    <row r="16" spans="1:189" s="6" customFormat="1" x14ac:dyDescent="0.2">
      <c r="B16" s="7" t="s">
        <v>1</v>
      </c>
      <c r="L16" s="6">
        <v>222.683393</v>
      </c>
      <c r="N16" s="6">
        <v>225.96838700000001</v>
      </c>
      <c r="P16" s="6">
        <v>242.16707199999999</v>
      </c>
      <c r="Q16" s="6">
        <v>242.16707199999999</v>
      </c>
      <c r="R16" s="6">
        <v>245.900655</v>
      </c>
      <c r="S16" s="6">
        <v>244.67635000000001</v>
      </c>
      <c r="AA16" s="6">
        <f>P16</f>
        <v>242.16707199999999</v>
      </c>
      <c r="AB16" s="6">
        <f>+AA16</f>
        <v>242.16707199999999</v>
      </c>
      <c r="AC16" s="6">
        <f t="shared" ref="AC16:AF16" si="71">+AB16</f>
        <v>242.16707199999999</v>
      </c>
      <c r="AD16" s="6">
        <f t="shared" si="71"/>
        <v>242.16707199999999</v>
      </c>
      <c r="AE16" s="6">
        <f t="shared" si="71"/>
        <v>242.16707199999999</v>
      </c>
      <c r="AF16" s="6">
        <f t="shared" si="71"/>
        <v>242.16707199999999</v>
      </c>
      <c r="AG16" s="6">
        <f t="shared" ref="AG16:AK16" si="72">+AF16</f>
        <v>242.16707199999999</v>
      </c>
      <c r="AH16" s="6">
        <f t="shared" si="72"/>
        <v>242.16707199999999</v>
      </c>
      <c r="AI16" s="6">
        <f t="shared" si="72"/>
        <v>242.16707199999999</v>
      </c>
      <c r="AJ16" s="6">
        <f t="shared" si="72"/>
        <v>242.16707199999999</v>
      </c>
      <c r="AK16" s="6">
        <f t="shared" si="72"/>
        <v>242.16707199999999</v>
      </c>
    </row>
    <row r="18" spans="2:37" x14ac:dyDescent="0.2">
      <c r="B18" t="s">
        <v>20</v>
      </c>
      <c r="D18" s="5"/>
      <c r="E18" s="5"/>
      <c r="F18" s="5"/>
      <c r="G18" s="5">
        <f t="shared" ref="G18" si="73">+G3/C3-1</f>
        <v>0.81875000000000009</v>
      </c>
      <c r="H18" s="5">
        <f t="shared" ref="H18:K18" si="74">+H3/D3-1</f>
        <v>0.90449438202247179</v>
      </c>
      <c r="I18" s="5">
        <f t="shared" si="74"/>
        <v>0.98550724637681175</v>
      </c>
      <c r="J18" s="5">
        <f t="shared" si="74"/>
        <v>0.89393939393939403</v>
      </c>
      <c r="K18" s="5">
        <f t="shared" si="74"/>
        <v>0.95532646048109959</v>
      </c>
      <c r="L18" s="5">
        <f t="shared" ref="L18:R18" si="75">+L3/H3-1</f>
        <v>0.77286135693215341</v>
      </c>
      <c r="M18" s="5">
        <f t="shared" si="75"/>
        <v>0.63746958637469575</v>
      </c>
      <c r="N18" s="5">
        <f t="shared" si="75"/>
        <v>0.4780000000000002</v>
      </c>
      <c r="O18" s="5">
        <f t="shared" si="75"/>
        <v>0.4393673110720564</v>
      </c>
      <c r="P18" s="5">
        <f>+P3/L3-1</f>
        <v>0.78369384359400995</v>
      </c>
      <c r="Q18" s="5">
        <f t="shared" si="75"/>
        <v>0.66716196136701345</v>
      </c>
      <c r="R18" s="5">
        <f t="shared" si="75"/>
        <v>0.59064952638700952</v>
      </c>
      <c r="S18" s="5">
        <f>+S3/O3-1</f>
        <v>0.40171184371184365</v>
      </c>
      <c r="T18" s="5"/>
      <c r="U18" s="5"/>
      <c r="V18" s="5"/>
      <c r="AA18" s="5">
        <f>+AA3/Z3-1</f>
        <v>0.39999999999999991</v>
      </c>
      <c r="AB18" s="5">
        <f>+AB3/AA3-1</f>
        <v>0.30000000000000004</v>
      </c>
      <c r="AC18" s="5">
        <f>+AC3/AB3-1</f>
        <v>0.19999999999999996</v>
      </c>
      <c r="AD18" s="5">
        <f t="shared" ref="AD18:AF18" si="76">+AD3/AC3-1</f>
        <v>0.19999999999999996</v>
      </c>
      <c r="AE18" s="5">
        <f t="shared" si="76"/>
        <v>0.14999999999999991</v>
      </c>
      <c r="AF18" s="5">
        <f t="shared" si="76"/>
        <v>0.14999999999999991</v>
      </c>
      <c r="AG18" s="5">
        <f t="shared" ref="AG18:AK18" si="77">+AG3/AF3-1</f>
        <v>0.14999999999999991</v>
      </c>
      <c r="AH18" s="5">
        <f t="shared" si="77"/>
        <v>0.10000000000000009</v>
      </c>
      <c r="AI18" s="5">
        <f t="shared" si="77"/>
        <v>0.10000000000000009</v>
      </c>
      <c r="AJ18" s="5">
        <f t="shared" si="77"/>
        <v>5.0000000000000044E-2</v>
      </c>
      <c r="AK18" s="5">
        <f t="shared" si="77"/>
        <v>5.0000000000000044E-2</v>
      </c>
    </row>
    <row r="19" spans="2:37" x14ac:dyDescent="0.2">
      <c r="B19" s="7" t="s">
        <v>51</v>
      </c>
      <c r="D19" s="5">
        <f t="shared" ref="D19:G19" si="78">+D5/D3</f>
        <v>-5.6179775280898875E-2</v>
      </c>
      <c r="E19" s="5">
        <f t="shared" si="78"/>
        <v>1.9323671497584544E-2</v>
      </c>
      <c r="F19" s="5">
        <f t="shared" si="78"/>
        <v>0.13257575757575757</v>
      </c>
      <c r="G19" s="5">
        <f t="shared" si="78"/>
        <v>0.12714776632302405</v>
      </c>
      <c r="H19" s="5">
        <f t="shared" ref="H19:K19" si="79">+H5/H3</f>
        <v>0.23008849557522124</v>
      </c>
      <c r="I19" s="5">
        <f t="shared" si="79"/>
        <v>0.23600973236009729</v>
      </c>
      <c r="J19" s="5">
        <f t="shared" si="79"/>
        <v>0.28399999999999997</v>
      </c>
      <c r="K19" s="5">
        <f t="shared" si="79"/>
        <v>0.28998242530755713</v>
      </c>
      <c r="L19" s="5">
        <f t="shared" ref="L19:O19" si="80">+L5/L3</f>
        <v>0.27787021630615644</v>
      </c>
      <c r="M19" s="5">
        <f t="shared" si="80"/>
        <v>0.36701337295690933</v>
      </c>
      <c r="N19" s="5">
        <f t="shared" si="80"/>
        <v>0.42083897158322064</v>
      </c>
      <c r="O19" s="5">
        <f t="shared" si="80"/>
        <v>0.47741147741147749</v>
      </c>
      <c r="P19" s="5">
        <f>+P5/P3</f>
        <v>0.53638059701492535</v>
      </c>
      <c r="Q19" s="5">
        <f t="shared" ref="Q19:S19" si="81">+Q5/Q3</f>
        <v>0.55999999999999994</v>
      </c>
      <c r="R19" s="5">
        <f t="shared" si="81"/>
        <v>0.53877957277390709</v>
      </c>
      <c r="S19" s="5">
        <f t="shared" si="81"/>
        <v>0.5321872261546583</v>
      </c>
      <c r="T19" s="5"/>
      <c r="U19" s="5"/>
      <c r="V19" s="5"/>
      <c r="Z19" s="5">
        <f t="shared" ref="Z19:AC19" si="82">+Z5/Z3</f>
        <v>0.53185038044736888</v>
      </c>
      <c r="AA19" s="5">
        <f t="shared" si="82"/>
        <v>0.57999999999999996</v>
      </c>
      <c r="AB19" s="5">
        <f t="shared" si="82"/>
        <v>0.6</v>
      </c>
      <c r="AC19" s="5">
        <f t="shared" si="82"/>
        <v>0.62000000000000011</v>
      </c>
      <c r="AD19" s="5">
        <f t="shared" ref="AD19:AF19" si="83">+AD5/AD3</f>
        <v>0.63</v>
      </c>
      <c r="AE19" s="5">
        <f t="shared" si="83"/>
        <v>0.64</v>
      </c>
      <c r="AF19" s="5">
        <f t="shared" si="83"/>
        <v>0.65</v>
      </c>
      <c r="AG19" s="5">
        <f t="shared" ref="AG19:AK19" si="84">+AG5/AG3</f>
        <v>0.65000000000000013</v>
      </c>
      <c r="AH19" s="5">
        <f t="shared" si="84"/>
        <v>0.65</v>
      </c>
      <c r="AI19" s="5">
        <f t="shared" si="84"/>
        <v>0.65</v>
      </c>
      <c r="AJ19" s="5">
        <f t="shared" si="84"/>
        <v>0.65</v>
      </c>
      <c r="AK19" s="5">
        <f t="shared" si="84"/>
        <v>0.65</v>
      </c>
    </row>
    <row r="21" spans="2:37" x14ac:dyDescent="0.2">
      <c r="B21" t="s">
        <v>45</v>
      </c>
      <c r="P21" s="6">
        <f>+P22-P36</f>
        <v>-42.830000000000013</v>
      </c>
      <c r="Q21" s="6"/>
      <c r="R21" s="6"/>
      <c r="S21" s="6">
        <f>+S22-S36</f>
        <v>-0.90200000000000102</v>
      </c>
      <c r="T21" s="6"/>
      <c r="U21" s="6"/>
      <c r="V21" s="6"/>
      <c r="Z21" s="6">
        <f>+R21</f>
        <v>0</v>
      </c>
      <c r="AA21" s="6">
        <f>+Z21+AA14</f>
        <v>190.55991599999993</v>
      </c>
      <c r="AB21" s="6">
        <f t="shared" ref="AB21:AF21" si="85">+AA21+AB14</f>
        <v>469.77220634999992</v>
      </c>
      <c r="AC21" s="6">
        <f t="shared" si="85"/>
        <v>834.68681327812499</v>
      </c>
      <c r="AD21" s="6">
        <f t="shared" si="85"/>
        <v>1298.7850578730545</v>
      </c>
      <c r="AE21" s="6">
        <f t="shared" si="85"/>
        <v>1858.968188109194</v>
      </c>
      <c r="AF21" s="6">
        <f t="shared" si="85"/>
        <v>2532.4911167456385</v>
      </c>
      <c r="AG21" s="6">
        <f t="shared" ref="AG21:AK21" si="86">+AF21+AG14</f>
        <v>3327.0383332434894</v>
      </c>
      <c r="AH21" s="6">
        <f t="shared" si="86"/>
        <v>4221.3389503219987</v>
      </c>
      <c r="AI21" s="6">
        <f t="shared" si="86"/>
        <v>5226.1295084991407</v>
      </c>
      <c r="AJ21" s="6">
        <f t="shared" si="86"/>
        <v>6304.0091062658794</v>
      </c>
      <c r="AK21" s="6">
        <f t="shared" si="86"/>
        <v>7458.7975399178167</v>
      </c>
    </row>
    <row r="22" spans="2:37" s="6" customFormat="1" x14ac:dyDescent="0.2">
      <c r="B22" s="11" t="s">
        <v>3</v>
      </c>
      <c r="P22" s="6">
        <v>88.244</v>
      </c>
      <c r="S22" s="6">
        <v>71.625</v>
      </c>
    </row>
    <row r="23" spans="2:37" s="6" customFormat="1" x14ac:dyDescent="0.2">
      <c r="B23" s="11" t="s">
        <v>30</v>
      </c>
      <c r="P23" s="6">
        <v>30.113</v>
      </c>
      <c r="S23" s="6">
        <v>99.412000000000006</v>
      </c>
      <c r="AJ23" s="2" t="s">
        <v>55</v>
      </c>
      <c r="AK23" s="5">
        <v>0.05</v>
      </c>
    </row>
    <row r="24" spans="2:37" s="6" customFormat="1" x14ac:dyDescent="0.2">
      <c r="B24" s="11" t="s">
        <v>31</v>
      </c>
      <c r="P24" s="6">
        <v>179.81</v>
      </c>
      <c r="S24" s="6">
        <v>172.18799999999999</v>
      </c>
      <c r="AJ24" s="2" t="s">
        <v>52</v>
      </c>
      <c r="AK24" s="5">
        <v>0.09</v>
      </c>
    </row>
    <row r="25" spans="2:37" s="6" customFormat="1" x14ac:dyDescent="0.2">
      <c r="B25" s="11" t="s">
        <v>32</v>
      </c>
      <c r="P25" s="11">
        <v>5.524</v>
      </c>
      <c r="S25" s="6">
        <v>8.5890000000000004</v>
      </c>
      <c r="AJ25" s="2" t="s">
        <v>53</v>
      </c>
      <c r="AK25" s="5">
        <v>0.01</v>
      </c>
    </row>
    <row r="26" spans="2:37" s="6" customFormat="1" x14ac:dyDescent="0.2">
      <c r="B26" s="11" t="s">
        <v>33</v>
      </c>
      <c r="P26" s="11">
        <v>54.326000000000001</v>
      </c>
      <c r="S26" s="6">
        <v>57.71</v>
      </c>
      <c r="AJ26" s="2" t="s">
        <v>54</v>
      </c>
      <c r="AK26" s="6">
        <f>NPV(AK24,AA14:GO14)</f>
        <v>9684.8650259456936</v>
      </c>
    </row>
    <row r="27" spans="2:37" s="6" customFormat="1" x14ac:dyDescent="0.2">
      <c r="B27" s="11" t="s">
        <v>34</v>
      </c>
      <c r="P27" s="6">
        <f>0.479+3.53</f>
        <v>4.0089999999999995</v>
      </c>
      <c r="S27" s="6">
        <f>0.452+3.53</f>
        <v>3.9819999999999998</v>
      </c>
      <c r="AJ27" s="6" t="s">
        <v>56</v>
      </c>
      <c r="AK27" s="13">
        <f>+AK26/Main!L3</f>
        <v>40.020103412998736</v>
      </c>
    </row>
    <row r="28" spans="2:37" s="6" customFormat="1" x14ac:dyDescent="0.2">
      <c r="B28" s="11" t="s">
        <v>35</v>
      </c>
      <c r="P28" s="11">
        <v>9.1519999999999992</v>
      </c>
      <c r="S28" s="6">
        <v>8.02</v>
      </c>
    </row>
    <row r="29" spans="2:37" s="6" customFormat="1" x14ac:dyDescent="0.2">
      <c r="B29" s="11" t="s">
        <v>36</v>
      </c>
      <c r="P29" s="11">
        <v>5.2210000000000001</v>
      </c>
      <c r="S29" s="6">
        <f>8.188+80.855</f>
        <v>89.043000000000006</v>
      </c>
    </row>
    <row r="30" spans="2:37" s="6" customFormat="1" x14ac:dyDescent="0.2">
      <c r="B30" s="11" t="s">
        <v>37</v>
      </c>
      <c r="P30" s="6">
        <f>SUM(P22:P29)</f>
        <v>376.39900000000006</v>
      </c>
      <c r="S30" s="6">
        <f>SUM(S22:S29)</f>
        <v>510.56900000000002</v>
      </c>
    </row>
    <row r="31" spans="2:37" s="6" customFormat="1" x14ac:dyDescent="0.2"/>
    <row r="32" spans="2:37" s="6" customFormat="1" x14ac:dyDescent="0.2">
      <c r="B32" s="11" t="s">
        <v>38</v>
      </c>
      <c r="P32" s="6">
        <v>14.179</v>
      </c>
      <c r="S32" s="6">
        <v>20.606999999999999</v>
      </c>
    </row>
    <row r="33" spans="2:19" s="6" customFormat="1" x14ac:dyDescent="0.2">
      <c r="B33" s="11" t="s">
        <v>39</v>
      </c>
      <c r="P33" s="11">
        <v>27.725999999999999</v>
      </c>
      <c r="S33" s="6">
        <v>31.56</v>
      </c>
    </row>
    <row r="34" spans="2:19" s="6" customFormat="1" x14ac:dyDescent="0.2">
      <c r="B34" s="11" t="s">
        <v>40</v>
      </c>
      <c r="P34" s="6">
        <f>1.13+1.619</f>
        <v>2.7489999999999997</v>
      </c>
      <c r="S34" s="6">
        <f>1.512+0.143</f>
        <v>1.655</v>
      </c>
    </row>
    <row r="35" spans="2:19" s="6" customFormat="1" x14ac:dyDescent="0.2">
      <c r="B35" s="11" t="s">
        <v>41</v>
      </c>
      <c r="P35" s="6">
        <f>1.142+9.182</f>
        <v>10.324</v>
      </c>
      <c r="S35" s="6">
        <f>8.298+1.188</f>
        <v>9.4860000000000007</v>
      </c>
    </row>
    <row r="36" spans="2:19" s="6" customFormat="1" x14ac:dyDescent="0.2">
      <c r="B36" s="11" t="s">
        <v>4</v>
      </c>
      <c r="P36" s="6">
        <v>131.07400000000001</v>
      </c>
      <c r="S36" s="6">
        <v>72.527000000000001</v>
      </c>
    </row>
    <row r="37" spans="2:19" s="6" customFormat="1" x14ac:dyDescent="0.2">
      <c r="B37" s="11" t="s">
        <v>42</v>
      </c>
      <c r="P37" s="11">
        <v>1.6879999999999999</v>
      </c>
      <c r="S37" s="6">
        <v>1.3129999999999999</v>
      </c>
    </row>
    <row r="38" spans="2:19" s="6" customFormat="1" x14ac:dyDescent="0.2">
      <c r="B38" s="11" t="s">
        <v>44</v>
      </c>
      <c r="P38" s="11">
        <v>0.39</v>
      </c>
      <c r="S38" s="6">
        <v>2E-3</v>
      </c>
    </row>
    <row r="39" spans="2:19" s="6" customFormat="1" x14ac:dyDescent="0.2">
      <c r="B39" s="11" t="s">
        <v>61</v>
      </c>
      <c r="P39" s="11">
        <v>188.26900000000001</v>
      </c>
      <c r="S39" s="6">
        <v>373.41899999999998</v>
      </c>
    </row>
    <row r="40" spans="2:19" s="6" customFormat="1" x14ac:dyDescent="0.2">
      <c r="B40" s="11" t="s">
        <v>43</v>
      </c>
      <c r="P40" s="6">
        <f>SUM(P32:P39)</f>
        <v>376.399</v>
      </c>
      <c r="S40" s="6">
        <f>SUM(S32:S39)</f>
        <v>510.56899999999996</v>
      </c>
    </row>
  </sheetData>
  <hyperlinks>
    <hyperlink ref="A1" location="Main!A1" display="Main" xr:uid="{B150C4FD-8C1A-4F74-93EF-A498FE77B202}"/>
  </hyperlink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Nichols Ringholm</dc:creator>
  <cp:lastModifiedBy>Sam Nichols Ringholm</cp:lastModifiedBy>
  <dcterms:created xsi:type="dcterms:W3CDTF">2024-10-01T20:45:09Z</dcterms:created>
  <dcterms:modified xsi:type="dcterms:W3CDTF">2025-10-07T15:57:52Z</dcterms:modified>
</cp:coreProperties>
</file>