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6DF8CD40-9A1B-4BB9-AFD6-8E5B81D570F5}" xr6:coauthVersionLast="47" xr6:coauthVersionMax="47" xr10:uidLastSave="{00000000-0000-0000-0000-000000000000}"/>
  <bookViews>
    <workbookView xWindow="8160" yWindow="4365" windowWidth="18075" windowHeight="16020" xr2:uid="{08C457C8-B682-4551-BA76-9CB51FD039A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55" i="2" l="1"/>
  <c r="AB55" i="2"/>
  <c r="AA55" i="2"/>
  <c r="AC54" i="2"/>
  <c r="AB54" i="2"/>
  <c r="AA54" i="2"/>
  <c r="Z54" i="2"/>
  <c r="Z55" i="2" s="1"/>
  <c r="Y55" i="2"/>
  <c r="X20" i="2"/>
  <c r="W20" i="2"/>
  <c r="V20" i="2"/>
  <c r="U20" i="2"/>
  <c r="T20" i="2"/>
  <c r="T13" i="2"/>
  <c r="S13" i="2"/>
  <c r="X55" i="2"/>
  <c r="W55" i="2"/>
  <c r="V55" i="2"/>
  <c r="U55" i="2"/>
  <c r="T55" i="2"/>
  <c r="T54" i="2"/>
  <c r="S54" i="2"/>
  <c r="T11" i="2"/>
  <c r="S11" i="2"/>
  <c r="T7" i="2"/>
  <c r="S7" i="2"/>
  <c r="W54" i="2"/>
  <c r="V54" i="2"/>
  <c r="U54" i="2"/>
  <c r="V13" i="2"/>
  <c r="U13" i="2"/>
  <c r="U11" i="2"/>
  <c r="U7" i="2"/>
  <c r="V11" i="2"/>
  <c r="V7" i="2"/>
  <c r="P18" i="2"/>
  <c r="P10" i="2"/>
  <c r="P9" i="2"/>
  <c r="P8" i="2"/>
  <c r="W13" i="2"/>
  <c r="X15" i="2"/>
  <c r="W11" i="2"/>
  <c r="X10" i="2"/>
  <c r="X9" i="2"/>
  <c r="X8" i="2"/>
  <c r="W7" i="2"/>
  <c r="P6" i="2"/>
  <c r="Y6" i="2" s="1"/>
  <c r="P5" i="2"/>
  <c r="Y5" i="2" s="1"/>
  <c r="P4" i="2"/>
  <c r="Y4" i="2" s="1"/>
  <c r="W2" i="2"/>
  <c r="X2" i="2"/>
  <c r="Y2" i="2"/>
  <c r="X6" i="2"/>
  <c r="X5" i="2"/>
  <c r="X4" i="2"/>
  <c r="L11" i="2"/>
  <c r="K11" i="2"/>
  <c r="L13" i="2"/>
  <c r="H13" i="2"/>
  <c r="H7" i="2"/>
  <c r="H11" i="2"/>
  <c r="L7" i="2"/>
  <c r="J53" i="2"/>
  <c r="K53" i="2" s="1"/>
  <c r="J52" i="2"/>
  <c r="K52" i="2" s="1"/>
  <c r="L52" i="2" s="1"/>
  <c r="P52" i="2" s="1"/>
  <c r="M54" i="2"/>
  <c r="N53" i="2"/>
  <c r="O53" i="2" s="1"/>
  <c r="N52" i="2"/>
  <c r="N41" i="2"/>
  <c r="N48" i="2" s="1"/>
  <c r="N50" i="2" s="1"/>
  <c r="N23" i="2"/>
  <c r="N32" i="2"/>
  <c r="I54" i="2"/>
  <c r="L41" i="2"/>
  <c r="L48" i="2" s="1"/>
  <c r="L32" i="2"/>
  <c r="L33" i="2" s="1"/>
  <c r="M32" i="2"/>
  <c r="M23" i="2"/>
  <c r="M41" i="2"/>
  <c r="M48" i="2" s="1"/>
  <c r="M50" i="2" s="1"/>
  <c r="I13" i="2"/>
  <c r="I11" i="2"/>
  <c r="I7" i="2"/>
  <c r="M13" i="2"/>
  <c r="M11" i="2"/>
  <c r="M7" i="2"/>
  <c r="J13" i="2"/>
  <c r="J11" i="2"/>
  <c r="J7" i="2"/>
  <c r="N13" i="2"/>
  <c r="N11" i="2"/>
  <c r="N7" i="2"/>
  <c r="J7" i="1"/>
  <c r="J4" i="1"/>
  <c r="O41" i="2"/>
  <c r="O48" i="2" s="1"/>
  <c r="O32" i="2"/>
  <c r="O33" i="2" s="1"/>
  <c r="K13" i="2"/>
  <c r="O13" i="2"/>
  <c r="P13" i="2" s="1"/>
  <c r="O11" i="2"/>
  <c r="K7" i="2"/>
  <c r="O7" i="2"/>
  <c r="T12" i="2" l="1"/>
  <c r="T14" i="2" s="1"/>
  <c r="T16" i="2" s="1"/>
  <c r="T17" i="2" s="1"/>
  <c r="S12" i="2"/>
  <c r="S14" i="2" s="1"/>
  <c r="S16" i="2" s="1"/>
  <c r="S17" i="2" s="1"/>
  <c r="X52" i="2"/>
  <c r="O20" i="2"/>
  <c r="M20" i="2"/>
  <c r="N20" i="2"/>
  <c r="V12" i="2"/>
  <c r="V14" i="2" s="1"/>
  <c r="V16" i="2" s="1"/>
  <c r="V17" i="2" s="1"/>
  <c r="U12" i="2"/>
  <c r="U14" i="2" s="1"/>
  <c r="U16" i="2" s="1"/>
  <c r="U17" i="2" s="1"/>
  <c r="X13" i="2"/>
  <c r="X11" i="2"/>
  <c r="W12" i="2"/>
  <c r="W14" i="2" s="1"/>
  <c r="W16" i="2" s="1"/>
  <c r="W17" i="2" s="1"/>
  <c r="X7" i="2"/>
  <c r="P11" i="2"/>
  <c r="N33" i="2"/>
  <c r="N54" i="2"/>
  <c r="Y7" i="2"/>
  <c r="Y20" i="2" s="1"/>
  <c r="P7" i="2"/>
  <c r="K54" i="2"/>
  <c r="L53" i="2"/>
  <c r="O52" i="2"/>
  <c r="O54" i="2" s="1"/>
  <c r="H12" i="2"/>
  <c r="L12" i="2"/>
  <c r="J54" i="2"/>
  <c r="M33" i="2"/>
  <c r="I12" i="2"/>
  <c r="M12" i="2"/>
  <c r="J12" i="2"/>
  <c r="N12" i="2"/>
  <c r="O12" i="2"/>
  <c r="O21" i="2" s="1"/>
  <c r="K12" i="2"/>
  <c r="O14" i="2"/>
  <c r="O16" i="2" s="1"/>
  <c r="O17" i="2" s="1"/>
  <c r="X12" i="2" l="1"/>
  <c r="X14" i="2" s="1"/>
  <c r="X16" i="2" s="1"/>
  <c r="X17" i="2" s="1"/>
  <c r="L54" i="2"/>
  <c r="P54" i="2" s="1"/>
  <c r="P53" i="2"/>
  <c r="Y53" i="2" s="1"/>
  <c r="X53" i="2"/>
  <c r="X54" i="2" s="1"/>
  <c r="Y52" i="2"/>
  <c r="Y54" i="2" s="1"/>
  <c r="P12" i="2"/>
  <c r="P14" i="2" s="1"/>
  <c r="N14" i="2"/>
  <c r="N16" i="2" s="1"/>
  <c r="N17" i="2" s="1"/>
  <c r="N21" i="2"/>
  <c r="L14" i="2"/>
  <c r="L16" i="2" s="1"/>
  <c r="L17" i="2" s="1"/>
  <c r="L21" i="2"/>
  <c r="J14" i="2"/>
  <c r="J16" i="2" s="1"/>
  <c r="J17" i="2" s="1"/>
  <c r="J21" i="2"/>
  <c r="M14" i="2"/>
  <c r="M16" i="2" s="1"/>
  <c r="M17" i="2" s="1"/>
  <c r="M21" i="2"/>
  <c r="H14" i="2"/>
  <c r="H16" i="2" s="1"/>
  <c r="H17" i="2" s="1"/>
  <c r="H21" i="2"/>
  <c r="K14" i="2"/>
  <c r="K16" i="2" s="1"/>
  <c r="K17" i="2" s="1"/>
  <c r="K21" i="2"/>
  <c r="I14" i="2"/>
  <c r="I16" i="2" s="1"/>
  <c r="I17" i="2" s="1"/>
  <c r="I21" i="2"/>
  <c r="P15" i="2" l="1"/>
  <c r="P16" i="2" s="1"/>
  <c r="P17" i="2" s="1"/>
</calcChain>
</file>

<file path=xl/sharedStrings.xml><?xml version="1.0" encoding="utf-8"?>
<sst xmlns="http://schemas.openxmlformats.org/spreadsheetml/2006/main" count="72" uniqueCount="65">
  <si>
    <t>Price</t>
  </si>
  <si>
    <t>Shares</t>
  </si>
  <si>
    <t>MC</t>
  </si>
  <si>
    <t>Cash</t>
  </si>
  <si>
    <t>Debt</t>
  </si>
  <si>
    <t>EV</t>
  </si>
  <si>
    <t>Main</t>
  </si>
  <si>
    <t>Revenue</t>
  </si>
  <si>
    <t>Q125</t>
  </si>
  <si>
    <t>Interest</t>
  </si>
  <si>
    <t>PEO</t>
  </si>
  <si>
    <t>Non-Interest/PEO</t>
  </si>
  <si>
    <t>Operating Expenses</t>
  </si>
  <si>
    <t>R&amp;D</t>
  </si>
  <si>
    <t>Total Opex</t>
  </si>
  <si>
    <t>Operating Income</t>
  </si>
  <si>
    <t>SG&amp;A</t>
  </si>
  <si>
    <t>Pretax Income</t>
  </si>
  <si>
    <t>Interest Income</t>
  </si>
  <si>
    <t>Net Income</t>
  </si>
  <si>
    <t>Taxes</t>
  </si>
  <si>
    <t>AR</t>
  </si>
  <si>
    <t>OCA</t>
  </si>
  <si>
    <t>Held for clients</t>
  </si>
  <si>
    <t>LTAR</t>
  </si>
  <si>
    <t>PPE</t>
  </si>
  <si>
    <t>Lease</t>
  </si>
  <si>
    <t>Deferred Contract Costs</t>
  </si>
  <si>
    <t>OA</t>
  </si>
  <si>
    <t>Goodwill</t>
  </si>
  <si>
    <t>Assets</t>
  </si>
  <si>
    <t>AP</t>
  </si>
  <si>
    <t>AE</t>
  </si>
  <si>
    <t>Payroll</t>
  </si>
  <si>
    <t>Dividends</t>
  </si>
  <si>
    <t>DR</t>
  </si>
  <si>
    <t>Reverse repo</t>
  </si>
  <si>
    <t>Leases</t>
  </si>
  <si>
    <t>Fund Obligations</t>
  </si>
  <si>
    <t>Liabilities</t>
  </si>
  <si>
    <t>LTDR</t>
  </si>
  <si>
    <t>OL</t>
  </si>
  <si>
    <t>EPS</t>
  </si>
  <si>
    <t>L+SE</t>
  </si>
  <si>
    <t>SE</t>
  </si>
  <si>
    <t>FQ125</t>
  </si>
  <si>
    <t>FQ225</t>
  </si>
  <si>
    <t>FQ325</t>
  </si>
  <si>
    <t>FQ425</t>
  </si>
  <si>
    <t>FQ424</t>
  </si>
  <si>
    <t>FQ324</t>
  </si>
  <si>
    <t>FQ224</t>
  </si>
  <si>
    <t>FQ124</t>
  </si>
  <si>
    <t>CFFO</t>
  </si>
  <si>
    <t>FCF</t>
  </si>
  <si>
    <t>CX</t>
  </si>
  <si>
    <t>Revenue y/y</t>
  </si>
  <si>
    <t>Operating Margin</t>
  </si>
  <si>
    <t>F2024</t>
  </si>
  <si>
    <t>F2025</t>
  </si>
  <si>
    <t>F2023</t>
  </si>
  <si>
    <t>F2022</t>
  </si>
  <si>
    <t>F2021</t>
  </si>
  <si>
    <t>F2019</t>
  </si>
  <si>
    <t>F2020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</si>
</sst>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m/d/yy;@"/>
    <numFmt numFmtId="165" formatCode="yyyy/mm/dd;@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9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6D618AE-B373-4B3E-8CCD-3A0D8EE8CE3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35092</xdr:colOff>
      <xdr:row>0</xdr:row>
      <xdr:rowOff>75197</xdr:rowOff>
    </xdr:from>
    <xdr:to>
      <xdr:col>15</xdr:col>
      <xdr:colOff>35092</xdr:colOff>
      <xdr:row>31</xdr:row>
      <xdr:rowOff>105276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7376725-C75A-69B8-D8E3-80850A3C51BA}"/>
            </a:ext>
          </a:extLst>
        </xdr:cNvPr>
        <xdr:cNvCxnSpPr/>
      </xdr:nvCxnSpPr>
      <xdr:spPr>
        <a:xfrm>
          <a:off x="9790697" y="75197"/>
          <a:ext cx="0" cy="500313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17044</xdr:colOff>
      <xdr:row>0</xdr:row>
      <xdr:rowOff>0</xdr:rowOff>
    </xdr:from>
    <xdr:to>
      <xdr:col>24</xdr:col>
      <xdr:colOff>17044</xdr:colOff>
      <xdr:row>58</xdr:row>
      <xdr:rowOff>105276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21D8639D-ED89-47EA-B588-D596748A4FEB}"/>
            </a:ext>
          </a:extLst>
        </xdr:cNvPr>
        <xdr:cNvCxnSpPr/>
      </xdr:nvCxnSpPr>
      <xdr:spPr>
        <a:xfrm>
          <a:off x="14053886" y="0"/>
          <a:ext cx="0" cy="940969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EE8E2-BAC6-4EBB-B455-3B2F9F0E6E8E}">
  <dimension ref="I2:K7"/>
  <sheetViews>
    <sheetView tabSelected="1" zoomScaleNormal="100" workbookViewId="0">
      <selection activeCell="K26" sqref="K26"/>
    </sheetView>
  </sheetViews>
  <sheetFormatPr defaultRowHeight="12.75" x14ac:dyDescent="0.2"/>
  <sheetData>
    <row r="2" spans="9:11" x14ac:dyDescent="0.2">
      <c r="I2" t="s">
        <v>0</v>
      </c>
      <c r="J2" s="1">
        <v>304</v>
      </c>
    </row>
    <row r="3" spans="9:11" x14ac:dyDescent="0.2">
      <c r="I3" t="s">
        <v>1</v>
      </c>
      <c r="J3" s="3">
        <v>409</v>
      </c>
      <c r="K3" s="2" t="s">
        <v>8</v>
      </c>
    </row>
    <row r="4" spans="9:11" x14ac:dyDescent="0.2">
      <c r="I4" t="s">
        <v>2</v>
      </c>
      <c r="J4" s="3">
        <f>+J2*J3</f>
        <v>124336</v>
      </c>
    </row>
    <row r="5" spans="9:11" x14ac:dyDescent="0.2">
      <c r="I5" t="s">
        <v>3</v>
      </c>
      <c r="J5" s="3">
        <v>2913</v>
      </c>
      <c r="K5" s="2" t="s">
        <v>8</v>
      </c>
    </row>
    <row r="6" spans="9:11" x14ac:dyDescent="0.2">
      <c r="I6" t="s">
        <v>4</v>
      </c>
      <c r="J6" s="3">
        <v>2992</v>
      </c>
      <c r="K6" s="2" t="s">
        <v>8</v>
      </c>
    </row>
    <row r="7" spans="9:11" x14ac:dyDescent="0.2">
      <c r="I7" t="s">
        <v>5</v>
      </c>
      <c r="J7" s="3">
        <f>+J4-J5+J6</f>
        <v>124415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6BF1A-F41B-431C-8D97-7F24819B55D6}">
  <dimension ref="A1:AC55"/>
  <sheetViews>
    <sheetView zoomScaleNormal="100" workbookViewId="0">
      <pane xSplit="2" ySplit="3" topLeftCell="V4" activePane="bottomRight" state="frozen"/>
      <selection pane="topRight" activeCell="C1" sqref="C1"/>
      <selection pane="bottomLeft" activeCell="A3" sqref="A3"/>
      <selection pane="bottomRight" activeCell="AA28" sqref="AA28"/>
    </sheetView>
  </sheetViews>
  <sheetFormatPr defaultRowHeight="12.75" x14ac:dyDescent="0.2"/>
  <cols>
    <col min="1" max="1" width="5" bestFit="1" customWidth="1"/>
    <col min="2" max="2" width="22" customWidth="1"/>
    <col min="3" max="14" width="9.140625" style="2"/>
    <col min="22" max="25" width="10.7109375" bestFit="1" customWidth="1"/>
  </cols>
  <sheetData>
    <row r="1" spans="1:25" x14ac:dyDescent="0.2">
      <c r="A1" t="s">
        <v>6</v>
      </c>
    </row>
    <row r="2" spans="1:25" s="7" customFormat="1" x14ac:dyDescent="0.2">
      <c r="C2" s="8"/>
      <c r="D2" s="8"/>
      <c r="E2" s="8"/>
      <c r="F2" s="8"/>
      <c r="G2" s="8"/>
      <c r="H2" s="8">
        <v>45107</v>
      </c>
      <c r="I2" s="8">
        <v>45199</v>
      </c>
      <c r="J2" s="8">
        <v>45291</v>
      </c>
      <c r="K2" s="8">
        <v>45382</v>
      </c>
      <c r="L2" s="8">
        <v>45473</v>
      </c>
      <c r="M2" s="8">
        <v>45565</v>
      </c>
      <c r="N2" s="8">
        <v>45657</v>
      </c>
      <c r="O2" s="7">
        <v>45747</v>
      </c>
      <c r="P2" s="7">
        <v>45838</v>
      </c>
      <c r="S2" s="7">
        <v>43646</v>
      </c>
      <c r="T2" s="7">
        <v>44012</v>
      </c>
      <c r="U2" s="7">
        <v>44377</v>
      </c>
      <c r="V2" s="11">
        <v>44742</v>
      </c>
      <c r="W2" s="11">
        <f>+H2</f>
        <v>45107</v>
      </c>
      <c r="X2" s="11">
        <f>+L2</f>
        <v>45473</v>
      </c>
      <c r="Y2" s="11">
        <f>+P2</f>
        <v>45838</v>
      </c>
    </row>
    <row r="3" spans="1:25" x14ac:dyDescent="0.2">
      <c r="I3" s="2" t="s">
        <v>52</v>
      </c>
      <c r="J3" s="2" t="s">
        <v>51</v>
      </c>
      <c r="K3" s="2" t="s">
        <v>50</v>
      </c>
      <c r="L3" s="2" t="s">
        <v>49</v>
      </c>
      <c r="M3" s="2" t="s">
        <v>45</v>
      </c>
      <c r="N3" s="2" t="s">
        <v>46</v>
      </c>
      <c r="O3" s="2" t="s">
        <v>47</v>
      </c>
      <c r="P3" s="2" t="s">
        <v>48</v>
      </c>
      <c r="Q3" s="2"/>
      <c r="R3" s="2"/>
      <c r="S3" s="2" t="s">
        <v>63</v>
      </c>
      <c r="T3" s="2" t="s">
        <v>64</v>
      </c>
      <c r="U3" s="2" t="s">
        <v>62</v>
      </c>
      <c r="V3" s="2" t="s">
        <v>61</v>
      </c>
      <c r="W3" s="2" t="s">
        <v>60</v>
      </c>
      <c r="X3" s="2" t="s">
        <v>58</v>
      </c>
      <c r="Y3" s="2" t="s">
        <v>59</v>
      </c>
    </row>
    <row r="4" spans="1:25" s="3" customFormat="1" x14ac:dyDescent="0.2">
      <c r="B4" s="3" t="s">
        <v>11</v>
      </c>
      <c r="C4" s="4"/>
      <c r="D4" s="4"/>
      <c r="E4" s="4"/>
      <c r="F4" s="4"/>
      <c r="G4" s="4"/>
      <c r="H4" s="4">
        <v>2784.7</v>
      </c>
      <c r="I4" s="3">
        <v>2843</v>
      </c>
      <c r="J4" s="3">
        <v>2898.6</v>
      </c>
      <c r="K4" s="3">
        <v>3270.3</v>
      </c>
      <c r="L4" s="4">
        <v>2941.9</v>
      </c>
      <c r="M4" s="3">
        <v>3007.2</v>
      </c>
      <c r="N4" s="3">
        <v>3114.8</v>
      </c>
      <c r="O4" s="3">
        <v>3412.6</v>
      </c>
      <c r="P4" s="3">
        <f>+L4*1.05</f>
        <v>3088.9950000000003</v>
      </c>
      <c r="S4" s="3">
        <v>9375.7999999999993</v>
      </c>
      <c r="T4" s="3">
        <v>9538.1</v>
      </c>
      <c r="U4" s="3">
        <v>9768.6</v>
      </c>
      <c r="V4" s="3">
        <v>10505</v>
      </c>
      <c r="W4" s="3">
        <v>11222</v>
      </c>
      <c r="X4" s="3">
        <f>SUM(I4:L4)</f>
        <v>11953.800000000001</v>
      </c>
      <c r="Y4" s="3">
        <f>SUM(M4:P4)</f>
        <v>12623.595000000001</v>
      </c>
    </row>
    <row r="5" spans="1:25" s="3" customFormat="1" x14ac:dyDescent="0.2">
      <c r="B5" s="3" t="s">
        <v>9</v>
      </c>
      <c r="C5" s="4"/>
      <c r="D5" s="4"/>
      <c r="E5" s="4"/>
      <c r="F5" s="4"/>
      <c r="G5" s="4"/>
      <c r="H5" s="4">
        <v>235.7</v>
      </c>
      <c r="I5" s="3">
        <v>201.7</v>
      </c>
      <c r="J5" s="3">
        <v>225.3</v>
      </c>
      <c r="K5" s="3">
        <v>320.8</v>
      </c>
      <c r="L5" s="4">
        <v>276.8</v>
      </c>
      <c r="M5" s="3">
        <v>253.3</v>
      </c>
      <c r="N5" s="3">
        <v>272.8</v>
      </c>
      <c r="O5" s="3">
        <v>355.2</v>
      </c>
      <c r="P5" s="3">
        <f>+L5*1.05</f>
        <v>290.64000000000004</v>
      </c>
      <c r="S5" s="3">
        <v>561.9</v>
      </c>
      <c r="T5" s="3">
        <v>545.20000000000005</v>
      </c>
      <c r="U5" s="3">
        <v>422.4</v>
      </c>
      <c r="V5" s="3">
        <v>451.8</v>
      </c>
      <c r="W5" s="3">
        <v>813.4</v>
      </c>
      <c r="X5" s="3">
        <f>SUM(I5:L5)</f>
        <v>1024.5999999999999</v>
      </c>
      <c r="Y5" s="3">
        <f>SUM(M5:P5)</f>
        <v>1171.94</v>
      </c>
    </row>
    <row r="6" spans="1:25" s="3" customFormat="1" x14ac:dyDescent="0.2">
      <c r="B6" s="3" t="s">
        <v>10</v>
      </c>
      <c r="C6" s="4"/>
      <c r="D6" s="4"/>
      <c r="E6" s="4"/>
      <c r="F6" s="4"/>
      <c r="G6" s="4"/>
      <c r="H6" s="4">
        <v>1457.4</v>
      </c>
      <c r="I6" s="3">
        <v>1467.7</v>
      </c>
      <c r="J6" s="3">
        <v>1544.1</v>
      </c>
      <c r="K6" s="3">
        <v>1662.7</v>
      </c>
      <c r="L6" s="4">
        <v>1549.8</v>
      </c>
      <c r="M6" s="3">
        <v>1572.2</v>
      </c>
      <c r="N6" s="3">
        <v>1660.8</v>
      </c>
      <c r="O6" s="3">
        <v>1785.2</v>
      </c>
      <c r="P6" s="3">
        <f>+L6*1.05</f>
        <v>1627.29</v>
      </c>
      <c r="S6" s="3">
        <v>4172.5</v>
      </c>
      <c r="T6" s="3">
        <v>4506.5</v>
      </c>
      <c r="U6" s="3">
        <v>4814.3999999999996</v>
      </c>
      <c r="V6" s="3">
        <v>5541.5</v>
      </c>
      <c r="W6" s="3">
        <v>5976.8</v>
      </c>
      <c r="X6" s="3">
        <f>SUM(I6:L6)</f>
        <v>6224.3</v>
      </c>
      <c r="Y6" s="3">
        <f>SUM(M6:P6)</f>
        <v>6645.49</v>
      </c>
    </row>
    <row r="7" spans="1:25" s="5" customFormat="1" x14ac:dyDescent="0.2">
      <c r="B7" s="5" t="s">
        <v>7</v>
      </c>
      <c r="C7" s="6"/>
      <c r="D7" s="6"/>
      <c r="E7" s="6"/>
      <c r="F7" s="6"/>
      <c r="G7" s="6"/>
      <c r="H7" s="5">
        <f t="shared" ref="H7" si="0">SUM(H4:H6)</f>
        <v>4477.7999999999993</v>
      </c>
      <c r="I7" s="5">
        <f t="shared" ref="I7:P7" si="1">SUM(I4:I6)</f>
        <v>4512.3999999999996</v>
      </c>
      <c r="J7" s="5">
        <f t="shared" si="1"/>
        <v>4668</v>
      </c>
      <c r="K7" s="5">
        <f t="shared" si="1"/>
        <v>5253.8</v>
      </c>
      <c r="L7" s="5">
        <f t="shared" si="1"/>
        <v>4768.5</v>
      </c>
      <c r="M7" s="5">
        <f t="shared" si="1"/>
        <v>4832.7</v>
      </c>
      <c r="N7" s="5">
        <f t="shared" si="1"/>
        <v>5048.4000000000005</v>
      </c>
      <c r="O7" s="5">
        <f t="shared" si="1"/>
        <v>5553</v>
      </c>
      <c r="P7" s="5">
        <f t="shared" si="1"/>
        <v>5006.9250000000002</v>
      </c>
      <c r="S7" s="5">
        <f t="shared" ref="S7" si="2">SUM(S4:S6)</f>
        <v>14110.199999999999</v>
      </c>
      <c r="T7" s="5">
        <f t="shared" ref="T7" si="3">SUM(T4:T6)</f>
        <v>14589.800000000001</v>
      </c>
      <c r="U7" s="5">
        <f t="shared" ref="U7:Y7" si="4">SUM(U4:U6)</f>
        <v>15005.4</v>
      </c>
      <c r="V7" s="5">
        <f t="shared" si="4"/>
        <v>16498.3</v>
      </c>
      <c r="W7" s="5">
        <f t="shared" si="4"/>
        <v>18012.2</v>
      </c>
      <c r="X7" s="5">
        <f t="shared" si="4"/>
        <v>19202.7</v>
      </c>
      <c r="Y7" s="5">
        <f t="shared" si="4"/>
        <v>20441.025000000001</v>
      </c>
    </row>
    <row r="8" spans="1:25" x14ac:dyDescent="0.2">
      <c r="B8" s="3" t="s">
        <v>12</v>
      </c>
      <c r="H8" s="4">
        <v>2148.6999999999998</v>
      </c>
      <c r="I8" s="4">
        <v>2157.6</v>
      </c>
      <c r="J8" s="4">
        <v>2213.3000000000002</v>
      </c>
      <c r="K8" s="4">
        <v>2406.5</v>
      </c>
      <c r="L8" s="4">
        <v>2272.6</v>
      </c>
      <c r="M8" s="3">
        <v>2285.8000000000002</v>
      </c>
      <c r="N8" s="3">
        <v>2376.1</v>
      </c>
      <c r="O8" s="3">
        <v>2534.6999999999998</v>
      </c>
      <c r="P8" s="3">
        <f>+L8*1.04</f>
        <v>2363.5039999999999</v>
      </c>
      <c r="S8" s="3">
        <v>7080.9</v>
      </c>
      <c r="T8" s="3">
        <v>7404.1</v>
      </c>
      <c r="U8" s="3">
        <v>7520.7</v>
      </c>
      <c r="V8" s="3">
        <v>8252.6</v>
      </c>
      <c r="W8" s="3">
        <v>8657.4</v>
      </c>
      <c r="X8" s="3">
        <f>SUM(I8:L8)</f>
        <v>9050</v>
      </c>
    </row>
    <row r="9" spans="1:25" x14ac:dyDescent="0.2">
      <c r="B9" s="3" t="s">
        <v>16</v>
      </c>
      <c r="H9" s="4">
        <v>957.2</v>
      </c>
      <c r="I9" s="4">
        <v>880.3</v>
      </c>
      <c r="J9" s="4">
        <v>922.5</v>
      </c>
      <c r="K9" s="4">
        <v>940.9</v>
      </c>
      <c r="L9" s="4">
        <v>1035.4000000000001</v>
      </c>
      <c r="M9" s="3">
        <v>1006.1</v>
      </c>
      <c r="N9" s="3">
        <v>1006.1</v>
      </c>
      <c r="O9" s="3">
        <v>1015.8</v>
      </c>
      <c r="P9" s="3">
        <f>+L9*1.04</f>
        <v>1076.816</v>
      </c>
      <c r="S9" s="3">
        <v>3064.2</v>
      </c>
      <c r="T9" s="3">
        <v>3003</v>
      </c>
      <c r="U9" s="3">
        <v>3040.5</v>
      </c>
      <c r="V9" s="3">
        <v>3233.2</v>
      </c>
      <c r="W9" s="3">
        <v>3551.4</v>
      </c>
      <c r="X9" s="3">
        <f>SUM(I9:L9)</f>
        <v>3779.1</v>
      </c>
    </row>
    <row r="10" spans="1:25" x14ac:dyDescent="0.2">
      <c r="B10" s="3" t="s">
        <v>13</v>
      </c>
      <c r="H10" s="4">
        <v>222.3</v>
      </c>
      <c r="I10" s="4">
        <v>236.5</v>
      </c>
      <c r="J10" s="4">
        <v>228.7</v>
      </c>
      <c r="K10" s="4">
        <v>242.7</v>
      </c>
      <c r="L10" s="4">
        <v>247.9</v>
      </c>
      <c r="M10" s="3">
        <v>239.5</v>
      </c>
      <c r="N10" s="3">
        <v>239.5</v>
      </c>
      <c r="O10" s="3">
        <v>247.1</v>
      </c>
      <c r="P10" s="3">
        <f>+L10*1.04</f>
        <v>257.81600000000003</v>
      </c>
      <c r="S10" s="3">
        <v>636.29999999999995</v>
      </c>
      <c r="T10" s="3">
        <v>674.1</v>
      </c>
      <c r="U10" s="3">
        <v>844.8</v>
      </c>
      <c r="V10" s="3">
        <v>844.8</v>
      </c>
      <c r="W10" s="3">
        <v>844.8</v>
      </c>
      <c r="X10" s="3">
        <f>SUM(I10:L10)</f>
        <v>955.8</v>
      </c>
    </row>
    <row r="11" spans="1:25" x14ac:dyDescent="0.2">
      <c r="B11" s="3" t="s">
        <v>14</v>
      </c>
      <c r="H11" s="3">
        <f t="shared" ref="H11" si="5">SUM(H8:H10)</f>
        <v>3328.2</v>
      </c>
      <c r="I11" s="3">
        <f t="shared" ref="I11:P11" si="6">SUM(I8:I10)</f>
        <v>3274.3999999999996</v>
      </c>
      <c r="J11" s="3">
        <f t="shared" si="6"/>
        <v>3364.5</v>
      </c>
      <c r="K11" s="3">
        <f t="shared" si="6"/>
        <v>3590.1</v>
      </c>
      <c r="L11" s="3">
        <f t="shared" si="6"/>
        <v>3555.9</v>
      </c>
      <c r="M11" s="3">
        <f t="shared" si="6"/>
        <v>3531.4</v>
      </c>
      <c r="N11" s="3">
        <f t="shared" si="6"/>
        <v>3621.7</v>
      </c>
      <c r="O11" s="3">
        <f t="shared" si="6"/>
        <v>3797.6</v>
      </c>
      <c r="P11" s="3">
        <f t="shared" si="6"/>
        <v>3698.1359999999995</v>
      </c>
      <c r="S11" s="3">
        <f t="shared" ref="S11" si="7">SUM(S8:S10)</f>
        <v>10781.399999999998</v>
      </c>
      <c r="T11" s="3">
        <f t="shared" ref="T11" si="8">SUM(T8:T10)</f>
        <v>11081.2</v>
      </c>
      <c r="U11" s="3">
        <f t="shared" ref="U11:W11" si="9">SUM(U8:U10)</f>
        <v>11406</v>
      </c>
      <c r="V11" s="3">
        <f t="shared" si="9"/>
        <v>12330.599999999999</v>
      </c>
      <c r="W11" s="3">
        <f t="shared" si="9"/>
        <v>13053.599999999999</v>
      </c>
      <c r="X11" s="3">
        <f>SUM(X8:X10)</f>
        <v>13784.9</v>
      </c>
    </row>
    <row r="12" spans="1:25" x14ac:dyDescent="0.2">
      <c r="B12" s="3" t="s">
        <v>15</v>
      </c>
      <c r="H12" s="3">
        <f t="shared" ref="H12" si="10">+H7-H11</f>
        <v>1149.5999999999995</v>
      </c>
      <c r="I12" s="3">
        <f>+I7-I11</f>
        <v>1238</v>
      </c>
      <c r="J12" s="3">
        <f>+J7-J11</f>
        <v>1303.5</v>
      </c>
      <c r="K12" s="3">
        <f>+K7-K11</f>
        <v>1663.7000000000003</v>
      </c>
      <c r="L12" s="3">
        <f t="shared" ref="L12" si="11">+L7-L11</f>
        <v>1212.5999999999999</v>
      </c>
      <c r="M12" s="3">
        <f>+M7-M11</f>
        <v>1301.2999999999997</v>
      </c>
      <c r="N12" s="3">
        <f>+N7-N11</f>
        <v>1426.7000000000007</v>
      </c>
      <c r="O12" s="3">
        <f>+O7-O11</f>
        <v>1755.4</v>
      </c>
      <c r="P12" s="3">
        <f>+P7-P11</f>
        <v>1308.7890000000007</v>
      </c>
      <c r="S12" s="3">
        <f t="shared" ref="S12" si="12">+S7-S11</f>
        <v>3328.8000000000011</v>
      </c>
      <c r="T12" s="3">
        <f t="shared" ref="T12" si="13">+T7-T11</f>
        <v>3508.6000000000004</v>
      </c>
      <c r="U12" s="3">
        <f t="shared" ref="U12:W12" si="14">+U7-U11</f>
        <v>3599.3999999999996</v>
      </c>
      <c r="V12" s="3">
        <f t="shared" si="14"/>
        <v>4167.7000000000007</v>
      </c>
      <c r="W12" s="3">
        <f t="shared" si="14"/>
        <v>4958.6000000000022</v>
      </c>
      <c r="X12" s="3">
        <f>+X7-X11</f>
        <v>5417.8000000000011</v>
      </c>
    </row>
    <row r="13" spans="1:25" s="3" customFormat="1" x14ac:dyDescent="0.2">
      <c r="B13" s="3" t="s">
        <v>18</v>
      </c>
      <c r="C13" s="4"/>
      <c r="D13" s="4"/>
      <c r="E13" s="4"/>
      <c r="F13" s="4"/>
      <c r="G13" s="4"/>
      <c r="H13" s="4">
        <f>77.2-106.9</f>
        <v>-29.700000000000003</v>
      </c>
      <c r="I13" s="3">
        <f>-91.6+67.7</f>
        <v>-23.899999999999991</v>
      </c>
      <c r="J13" s="3">
        <f>-104.9+64.8</f>
        <v>-40.100000000000009</v>
      </c>
      <c r="K13" s="3">
        <f>-62.7+64.3</f>
        <v>1.5999999999999943</v>
      </c>
      <c r="L13" s="4">
        <f>-102.1+89.9</f>
        <v>-12.199999999999989</v>
      </c>
      <c r="M13" s="3">
        <f>-129.6+91.1</f>
        <v>-38.5</v>
      </c>
      <c r="N13" s="3">
        <f>-129.6+91.1</f>
        <v>-38.5</v>
      </c>
      <c r="O13" s="3">
        <f>-74.8+63.7</f>
        <v>-11.099999999999994</v>
      </c>
      <c r="P13" s="3">
        <f>+O13</f>
        <v>-11.099999999999994</v>
      </c>
      <c r="S13" s="3">
        <f>-129.9+111.1</f>
        <v>-18.800000000000011</v>
      </c>
      <c r="T13" s="3">
        <f>-107.1+148</f>
        <v>40.900000000000006</v>
      </c>
      <c r="U13" s="3">
        <f>82.8-81.9</f>
        <v>0.89999999999999147</v>
      </c>
      <c r="V13" s="3">
        <f>96.3-59.7</f>
        <v>36.599999999999994</v>
      </c>
      <c r="W13" s="3">
        <f>-253.3+183.5</f>
        <v>-69.800000000000011</v>
      </c>
      <c r="X13" s="3">
        <f>SUM(I13:L13)</f>
        <v>-74.599999999999994</v>
      </c>
    </row>
    <row r="14" spans="1:25" s="3" customFormat="1" x14ac:dyDescent="0.2">
      <c r="B14" s="3" t="s">
        <v>17</v>
      </c>
      <c r="C14" s="4"/>
      <c r="D14" s="4"/>
      <c r="E14" s="4"/>
      <c r="F14" s="4"/>
      <c r="G14" s="4"/>
      <c r="H14" s="3">
        <f t="shared" ref="H14:P14" si="15">+H12+H13</f>
        <v>1119.8999999999994</v>
      </c>
      <c r="I14" s="3">
        <f t="shared" si="15"/>
        <v>1214.0999999999999</v>
      </c>
      <c r="J14" s="3">
        <f t="shared" si="15"/>
        <v>1263.4000000000001</v>
      </c>
      <c r="K14" s="3">
        <f t="shared" si="15"/>
        <v>1665.3000000000002</v>
      </c>
      <c r="L14" s="3">
        <f t="shared" si="15"/>
        <v>1200.3999999999999</v>
      </c>
      <c r="M14" s="3">
        <f t="shared" si="15"/>
        <v>1262.7999999999997</v>
      </c>
      <c r="N14" s="3">
        <f t="shared" si="15"/>
        <v>1388.2000000000007</v>
      </c>
      <c r="O14" s="3">
        <f t="shared" si="15"/>
        <v>1744.3000000000002</v>
      </c>
      <c r="P14" s="3">
        <f t="shared" si="15"/>
        <v>1297.6890000000008</v>
      </c>
      <c r="S14" s="3">
        <f t="shared" ref="S14:T14" si="16">+S12+S13</f>
        <v>3310.0000000000009</v>
      </c>
      <c r="T14" s="3">
        <f t="shared" si="16"/>
        <v>3549.5000000000005</v>
      </c>
      <c r="U14" s="3">
        <f>+U12+U13</f>
        <v>3600.2999999999997</v>
      </c>
      <c r="V14" s="3">
        <f>+V12+V13</f>
        <v>4204.3000000000011</v>
      </c>
      <c r="W14" s="3">
        <f>+W12+W13</f>
        <v>4888.800000000002</v>
      </c>
      <c r="X14" s="3">
        <f>+X12+X13</f>
        <v>5343.2000000000007</v>
      </c>
    </row>
    <row r="15" spans="1:25" s="3" customFormat="1" x14ac:dyDescent="0.2">
      <c r="B15" s="3" t="s">
        <v>20</v>
      </c>
      <c r="C15" s="4"/>
      <c r="D15" s="4"/>
      <c r="E15" s="4"/>
      <c r="F15" s="4"/>
      <c r="G15" s="4"/>
      <c r="H15" s="4">
        <v>228.8</v>
      </c>
      <c r="I15" s="3">
        <v>233.4</v>
      </c>
      <c r="J15" s="3">
        <v>265.39999999999998</v>
      </c>
      <c r="K15" s="3">
        <v>361.4</v>
      </c>
      <c r="L15" s="4">
        <v>260.10000000000002</v>
      </c>
      <c r="M15" s="3">
        <v>298.10000000000002</v>
      </c>
      <c r="N15" s="3">
        <v>298.10000000000002</v>
      </c>
      <c r="O15" s="3">
        <v>372.4</v>
      </c>
      <c r="P15" s="3">
        <f>+P14*0.15</f>
        <v>194.6533500000001</v>
      </c>
      <c r="S15" s="3">
        <v>712.8</v>
      </c>
      <c r="T15" s="3">
        <v>716.1</v>
      </c>
      <c r="U15" s="3">
        <v>762.7</v>
      </c>
      <c r="V15" s="3">
        <v>855.2</v>
      </c>
      <c r="W15" s="3">
        <v>1025.5999999999999</v>
      </c>
      <c r="X15" s="3">
        <f>SUM(I15:L15)</f>
        <v>1120.3</v>
      </c>
    </row>
    <row r="16" spans="1:25" s="3" customFormat="1" x14ac:dyDescent="0.2">
      <c r="B16" s="3" t="s">
        <v>19</v>
      </c>
      <c r="C16" s="4"/>
      <c r="D16" s="4"/>
      <c r="E16" s="4"/>
      <c r="F16" s="4"/>
      <c r="G16" s="4"/>
      <c r="H16" s="3">
        <f t="shared" ref="H16:P16" si="17">+H14-H15</f>
        <v>891.09999999999945</v>
      </c>
      <c r="I16" s="3">
        <f t="shared" si="17"/>
        <v>980.69999999999993</v>
      </c>
      <c r="J16" s="3">
        <f t="shared" si="17"/>
        <v>998.00000000000011</v>
      </c>
      <c r="K16" s="3">
        <f t="shared" si="17"/>
        <v>1303.9000000000001</v>
      </c>
      <c r="L16" s="3">
        <f t="shared" si="17"/>
        <v>940.29999999999984</v>
      </c>
      <c r="M16" s="3">
        <f t="shared" si="17"/>
        <v>964.6999999999997</v>
      </c>
      <c r="N16" s="3">
        <f t="shared" si="17"/>
        <v>1090.1000000000008</v>
      </c>
      <c r="O16" s="3">
        <f t="shared" si="17"/>
        <v>1371.9</v>
      </c>
      <c r="P16" s="3">
        <f t="shared" si="17"/>
        <v>1103.0356500000007</v>
      </c>
      <c r="S16" s="3">
        <f t="shared" ref="S16:T16" si="18">+S14-S15</f>
        <v>2597.2000000000007</v>
      </c>
      <c r="T16" s="3">
        <f t="shared" si="18"/>
        <v>2833.4000000000005</v>
      </c>
      <c r="U16" s="3">
        <f>+U14-U15</f>
        <v>2837.5999999999995</v>
      </c>
      <c r="V16" s="3">
        <f>+V14-V15</f>
        <v>3349.1000000000013</v>
      </c>
      <c r="W16" s="3">
        <f>+W14-W15</f>
        <v>3863.2000000000021</v>
      </c>
      <c r="X16" s="3">
        <f>+X14-X15</f>
        <v>4222.9000000000005</v>
      </c>
    </row>
    <row r="17" spans="2:25" x14ac:dyDescent="0.2">
      <c r="B17" s="3" t="s">
        <v>42</v>
      </c>
      <c r="H17" s="1">
        <f t="shared" ref="H17:P17" si="19">+H16/H18</f>
        <v>2.1508568670045847</v>
      </c>
      <c r="I17" s="1">
        <f t="shared" si="19"/>
        <v>2.3711315280464214</v>
      </c>
      <c r="J17" s="1">
        <f t="shared" si="19"/>
        <v>2.4193939393939399</v>
      </c>
      <c r="K17" s="1">
        <f t="shared" si="19"/>
        <v>3.1640378548895898</v>
      </c>
      <c r="L17" s="1">
        <f t="shared" si="19"/>
        <v>2.2900633219678515</v>
      </c>
      <c r="M17" s="1">
        <f t="shared" si="19"/>
        <v>2.355799755799755</v>
      </c>
      <c r="N17" s="1">
        <f t="shared" si="19"/>
        <v>2.665281173594134</v>
      </c>
      <c r="O17" s="1">
        <f t="shared" si="19"/>
        <v>3.3583843329253367</v>
      </c>
      <c r="P17" s="1">
        <f t="shared" si="19"/>
        <v>2.7002096695226454</v>
      </c>
      <c r="S17" s="1">
        <f t="shared" ref="S17:T17" si="20">+S16/S18</f>
        <v>5.935100548446071</v>
      </c>
      <c r="T17" s="1">
        <f t="shared" si="20"/>
        <v>6.548185810030045</v>
      </c>
      <c r="U17" s="1">
        <f>+U16/U18</f>
        <v>6.6283578603130096</v>
      </c>
      <c r="V17" s="1">
        <f>+V16/V18</f>
        <v>7.9532177630016649</v>
      </c>
      <c r="W17" s="1">
        <f>+W16/W18</f>
        <v>9.2932403175366911</v>
      </c>
      <c r="X17" s="1">
        <f>+X16/X18</f>
        <v>10.244784085395441</v>
      </c>
    </row>
    <row r="18" spans="2:25" s="3" customFormat="1" x14ac:dyDescent="0.2">
      <c r="B18" s="3" t="s">
        <v>1</v>
      </c>
      <c r="C18" s="4"/>
      <c r="D18" s="4"/>
      <c r="E18" s="4"/>
      <c r="F18" s="4"/>
      <c r="G18" s="4"/>
      <c r="H18" s="4">
        <v>414.3</v>
      </c>
      <c r="I18" s="4">
        <v>413.6</v>
      </c>
      <c r="J18" s="3">
        <v>412.5</v>
      </c>
      <c r="K18" s="3">
        <v>412.1</v>
      </c>
      <c r="L18" s="4">
        <v>410.6</v>
      </c>
      <c r="M18" s="4">
        <v>409.5</v>
      </c>
      <c r="N18" s="3">
        <v>409</v>
      </c>
      <c r="O18" s="3">
        <v>408.5</v>
      </c>
      <c r="P18" s="3">
        <f>+O18</f>
        <v>408.5</v>
      </c>
      <c r="S18" s="3">
        <v>437.6</v>
      </c>
      <c r="T18" s="3">
        <v>432.7</v>
      </c>
      <c r="U18" s="3">
        <v>428.1</v>
      </c>
      <c r="V18" s="3">
        <v>421.1</v>
      </c>
      <c r="W18" s="3">
        <v>415.7</v>
      </c>
      <c r="X18" s="3">
        <v>412.2</v>
      </c>
    </row>
    <row r="20" spans="2:25" x14ac:dyDescent="0.2">
      <c r="B20" s="3" t="s">
        <v>56</v>
      </c>
      <c r="M20" s="9">
        <f>+M7/I7-1</f>
        <v>7.0982182430635588E-2</v>
      </c>
      <c r="N20" s="9">
        <f>+N7/J7-1</f>
        <v>8.1491002570694304E-2</v>
      </c>
      <c r="O20" s="9">
        <f>+O7/K7-1</f>
        <v>5.6949255776771013E-2</v>
      </c>
      <c r="T20" s="10">
        <f t="shared" ref="T20:Y20" si="21">+T7/S7-1</f>
        <v>3.398959617865116E-2</v>
      </c>
      <c r="U20" s="10">
        <f t="shared" si="21"/>
        <v>2.8485654361265933E-2</v>
      </c>
      <c r="V20" s="10">
        <f t="shared" si="21"/>
        <v>9.9490849960680805E-2</v>
      </c>
      <c r="W20" s="10">
        <f t="shared" si="21"/>
        <v>9.1760969311989848E-2</v>
      </c>
      <c r="X20" s="10">
        <f t="shared" si="21"/>
        <v>6.6094091782236575E-2</v>
      </c>
      <c r="Y20" s="10">
        <f t="shared" si="21"/>
        <v>6.4487025262072617E-2</v>
      </c>
    </row>
    <row r="21" spans="2:25" x14ac:dyDescent="0.2">
      <c r="B21" s="3" t="s">
        <v>57</v>
      </c>
      <c r="H21" s="9">
        <f t="shared" ref="H21:L21" si="22">+H12/H7</f>
        <v>0.2567332172048773</v>
      </c>
      <c r="I21" s="9">
        <f t="shared" si="22"/>
        <v>0.27435511036255655</v>
      </c>
      <c r="J21" s="9">
        <f t="shared" si="22"/>
        <v>0.27924164524421596</v>
      </c>
      <c r="K21" s="9">
        <f t="shared" si="22"/>
        <v>0.31666603220526102</v>
      </c>
      <c r="L21" s="9">
        <f t="shared" si="22"/>
        <v>0.25429380308273042</v>
      </c>
      <c r="M21" s="9">
        <f>+M12/M7</f>
        <v>0.26926976638318117</v>
      </c>
      <c r="N21" s="9">
        <f>+N12/N7</f>
        <v>0.28260438950954769</v>
      </c>
      <c r="O21" s="9">
        <f>+O12/O7</f>
        <v>0.3161174140104448</v>
      </c>
    </row>
    <row r="23" spans="2:25" s="3" customFormat="1" x14ac:dyDescent="0.2">
      <c r="B23" s="3" t="s">
        <v>3</v>
      </c>
      <c r="C23" s="4"/>
      <c r="D23" s="4"/>
      <c r="E23" s="4"/>
      <c r="F23" s="4"/>
      <c r="G23" s="4"/>
      <c r="H23" s="4"/>
      <c r="I23" s="4"/>
      <c r="J23" s="4"/>
      <c r="K23" s="4"/>
      <c r="L23" s="3">
        <v>2913.4</v>
      </c>
      <c r="M23" s="3">
        <f>2104.9+5242.2+940.6</f>
        <v>8287.7000000000007</v>
      </c>
      <c r="N23" s="3">
        <f>2216.4</f>
        <v>2216.4</v>
      </c>
      <c r="O23" s="3">
        <v>2913.4</v>
      </c>
    </row>
    <row r="24" spans="2:25" s="3" customFormat="1" x14ac:dyDescent="0.2">
      <c r="B24" s="3" t="s">
        <v>21</v>
      </c>
      <c r="C24" s="4"/>
      <c r="D24" s="4"/>
      <c r="E24" s="4"/>
      <c r="F24" s="4"/>
      <c r="G24" s="4"/>
      <c r="H24" s="4"/>
      <c r="I24" s="4"/>
      <c r="J24" s="4"/>
      <c r="K24" s="4"/>
      <c r="L24" s="3">
        <v>3428.2</v>
      </c>
      <c r="M24" s="3">
        <v>3316.7</v>
      </c>
      <c r="N24" s="3">
        <v>3503.5</v>
      </c>
      <c r="O24" s="3">
        <v>3428.2</v>
      </c>
    </row>
    <row r="25" spans="2:25" s="3" customFormat="1" x14ac:dyDescent="0.2">
      <c r="B25" s="3" t="s">
        <v>22</v>
      </c>
      <c r="C25" s="4"/>
      <c r="D25" s="4"/>
      <c r="E25" s="4"/>
      <c r="F25" s="4"/>
      <c r="G25" s="4"/>
      <c r="H25" s="4"/>
      <c r="I25" s="4"/>
      <c r="J25" s="4"/>
      <c r="K25" s="4"/>
      <c r="L25" s="3">
        <v>1204.8</v>
      </c>
      <c r="M25" s="3">
        <v>1070.5</v>
      </c>
      <c r="N25" s="3">
        <v>1126.8</v>
      </c>
      <c r="O25" s="3">
        <v>1204.8</v>
      </c>
    </row>
    <row r="26" spans="2:25" s="3" customFormat="1" x14ac:dyDescent="0.2">
      <c r="B26" s="3" t="s">
        <v>23</v>
      </c>
      <c r="C26" s="4"/>
      <c r="D26" s="4"/>
      <c r="E26" s="4"/>
      <c r="F26" s="4"/>
      <c r="G26" s="4"/>
      <c r="H26" s="4"/>
      <c r="I26" s="4"/>
      <c r="J26" s="4"/>
      <c r="K26" s="4"/>
      <c r="L26" s="3">
        <v>37996.1</v>
      </c>
      <c r="M26" s="3">
        <v>28176.9</v>
      </c>
      <c r="N26" s="3">
        <v>47407.7</v>
      </c>
      <c r="O26" s="3">
        <v>37996.1</v>
      </c>
    </row>
    <row r="27" spans="2:25" x14ac:dyDescent="0.2">
      <c r="B27" s="3" t="s">
        <v>24</v>
      </c>
      <c r="L27" s="3">
        <v>7.3</v>
      </c>
      <c r="M27" s="3">
        <v>6.6</v>
      </c>
      <c r="N27" s="3">
        <v>5.9</v>
      </c>
      <c r="O27" s="3">
        <v>7.3</v>
      </c>
    </row>
    <row r="28" spans="2:25" x14ac:dyDescent="0.2">
      <c r="B28" s="3" t="s">
        <v>25</v>
      </c>
      <c r="L28" s="3">
        <v>685.6</v>
      </c>
      <c r="M28" s="3">
        <v>692.5</v>
      </c>
      <c r="N28" s="3">
        <v>682.2</v>
      </c>
      <c r="O28" s="3">
        <v>685.6</v>
      </c>
    </row>
    <row r="29" spans="2:25" x14ac:dyDescent="0.2">
      <c r="B29" s="3" t="s">
        <v>26</v>
      </c>
      <c r="L29" s="3">
        <v>370.6</v>
      </c>
      <c r="M29" s="3">
        <v>362.5</v>
      </c>
      <c r="N29" s="3">
        <v>342.9</v>
      </c>
      <c r="O29" s="3">
        <v>370.6</v>
      </c>
    </row>
    <row r="30" spans="2:25" x14ac:dyDescent="0.2">
      <c r="B30" s="3" t="s">
        <v>27</v>
      </c>
      <c r="L30" s="3">
        <v>2965</v>
      </c>
      <c r="M30" s="3">
        <v>2975.5</v>
      </c>
      <c r="N30" s="3">
        <v>2936.4</v>
      </c>
      <c r="O30" s="3">
        <v>2965</v>
      </c>
    </row>
    <row r="31" spans="2:25" x14ac:dyDescent="0.2">
      <c r="B31" s="3" t="s">
        <v>28</v>
      </c>
      <c r="L31" s="3">
        <v>1102.0999999999999</v>
      </c>
      <c r="M31" s="3">
        <v>923.2</v>
      </c>
      <c r="N31" s="3">
        <v>951.9</v>
      </c>
      <c r="O31" s="3">
        <v>1102.0999999999999</v>
      </c>
    </row>
    <row r="32" spans="2:25" x14ac:dyDescent="0.2">
      <c r="B32" s="3" t="s">
        <v>29</v>
      </c>
      <c r="L32" s="3">
        <f>2353.6+1336</f>
        <v>3689.6</v>
      </c>
      <c r="M32" s="3">
        <f>2369+1330.3</f>
        <v>3699.3</v>
      </c>
      <c r="N32" s="3">
        <f>3183.9+1739.1</f>
        <v>4923</v>
      </c>
      <c r="O32" s="3">
        <f>2353.6+1336</f>
        <v>3689.6</v>
      </c>
    </row>
    <row r="33" spans="2:15" x14ac:dyDescent="0.2">
      <c r="B33" s="3" t="s">
        <v>30</v>
      </c>
      <c r="L33" s="3">
        <f>SUM(L23:L32)</f>
        <v>54362.7</v>
      </c>
      <c r="M33" s="3">
        <f>SUM(M23:M32)</f>
        <v>49511.4</v>
      </c>
      <c r="N33" s="3">
        <f>SUM(N23:N32)</f>
        <v>64096.7</v>
      </c>
      <c r="O33" s="3">
        <f>SUM(O23:O32)</f>
        <v>54362.7</v>
      </c>
    </row>
    <row r="34" spans="2:15" x14ac:dyDescent="0.2">
      <c r="L34" s="3"/>
      <c r="M34" s="4"/>
      <c r="N34" s="4"/>
      <c r="O34" s="3"/>
    </row>
    <row r="35" spans="2:15" s="3" customFormat="1" x14ac:dyDescent="0.2">
      <c r="B35" s="3" t="s">
        <v>31</v>
      </c>
      <c r="C35" s="4"/>
      <c r="D35" s="4"/>
      <c r="E35" s="4"/>
      <c r="F35" s="4"/>
      <c r="G35" s="4"/>
      <c r="H35" s="4"/>
      <c r="I35" s="4"/>
      <c r="J35" s="4"/>
      <c r="K35" s="4"/>
      <c r="L35" s="3">
        <v>100.6</v>
      </c>
      <c r="M35" s="3">
        <v>145.19999999999999</v>
      </c>
      <c r="N35" s="3">
        <v>186.4</v>
      </c>
      <c r="O35" s="3">
        <v>100.6</v>
      </c>
    </row>
    <row r="36" spans="2:15" s="3" customFormat="1" x14ac:dyDescent="0.2">
      <c r="B36" s="3" t="s">
        <v>32</v>
      </c>
      <c r="C36" s="4"/>
      <c r="D36" s="4"/>
      <c r="E36" s="4"/>
      <c r="F36" s="4"/>
      <c r="G36" s="4"/>
      <c r="H36" s="4"/>
      <c r="I36" s="4"/>
      <c r="J36" s="4"/>
      <c r="K36" s="4"/>
      <c r="L36" s="3">
        <v>3349</v>
      </c>
      <c r="M36" s="3">
        <v>2973.9</v>
      </c>
      <c r="N36" s="3">
        <v>3088.7</v>
      </c>
      <c r="O36" s="3">
        <v>3349</v>
      </c>
    </row>
    <row r="37" spans="2:15" s="3" customFormat="1" x14ac:dyDescent="0.2">
      <c r="B37" s="3" t="s">
        <v>33</v>
      </c>
      <c r="C37" s="4"/>
      <c r="D37" s="4"/>
      <c r="E37" s="4"/>
      <c r="F37" s="4"/>
      <c r="G37" s="4"/>
      <c r="H37" s="4"/>
      <c r="I37" s="4"/>
      <c r="J37" s="4"/>
      <c r="K37" s="4"/>
      <c r="L37" s="3">
        <v>958.7</v>
      </c>
      <c r="M37" s="3">
        <v>552.70000000000005</v>
      </c>
      <c r="N37" s="3">
        <v>682.6</v>
      </c>
      <c r="O37" s="3">
        <v>958.7</v>
      </c>
    </row>
    <row r="38" spans="2:15" s="3" customFormat="1" x14ac:dyDescent="0.2">
      <c r="B38" s="3" t="s">
        <v>34</v>
      </c>
      <c r="C38" s="4"/>
      <c r="D38" s="4"/>
      <c r="E38" s="4"/>
      <c r="F38" s="4"/>
      <c r="G38" s="4"/>
      <c r="H38" s="4"/>
      <c r="I38" s="4"/>
      <c r="J38" s="4"/>
      <c r="K38" s="4"/>
      <c r="L38" s="3">
        <v>566.4</v>
      </c>
      <c r="M38" s="3">
        <v>565.9</v>
      </c>
      <c r="N38" s="3">
        <v>621.6</v>
      </c>
      <c r="O38" s="3">
        <v>566.4</v>
      </c>
    </row>
    <row r="39" spans="2:15" s="3" customFormat="1" x14ac:dyDescent="0.2">
      <c r="B39" s="3" t="s">
        <v>35</v>
      </c>
      <c r="C39" s="4"/>
      <c r="D39" s="4"/>
      <c r="E39" s="4"/>
      <c r="F39" s="4"/>
      <c r="G39" s="4"/>
      <c r="H39" s="4"/>
      <c r="I39" s="4"/>
      <c r="J39" s="4"/>
      <c r="K39" s="4"/>
      <c r="L39" s="3">
        <v>199.8</v>
      </c>
      <c r="M39" s="3">
        <v>188.6</v>
      </c>
      <c r="N39" s="3">
        <v>236.7</v>
      </c>
      <c r="O39" s="3">
        <v>199.8</v>
      </c>
    </row>
    <row r="40" spans="2:15" s="3" customFormat="1" x14ac:dyDescent="0.2">
      <c r="B40" s="3" t="s">
        <v>36</v>
      </c>
      <c r="C40" s="4"/>
      <c r="D40" s="4"/>
      <c r="E40" s="4"/>
      <c r="F40" s="4"/>
      <c r="G40" s="4"/>
      <c r="H40" s="4"/>
      <c r="I40" s="4"/>
      <c r="J40" s="4"/>
      <c r="K40" s="4"/>
      <c r="L40" s="3">
        <v>385.4</v>
      </c>
      <c r="M40" s="3">
        <v>679.1</v>
      </c>
      <c r="N40" s="3">
        <v>0</v>
      </c>
      <c r="O40" s="3">
        <v>385.4</v>
      </c>
    </row>
    <row r="41" spans="2:15" s="3" customFormat="1" x14ac:dyDescent="0.2">
      <c r="B41" s="3" t="s">
        <v>4</v>
      </c>
      <c r="C41" s="4"/>
      <c r="D41" s="4"/>
      <c r="E41" s="4"/>
      <c r="F41" s="4"/>
      <c r="G41" s="4"/>
      <c r="H41" s="4"/>
      <c r="I41" s="4"/>
      <c r="J41" s="4"/>
      <c r="K41" s="4"/>
      <c r="L41" s="3">
        <f>1.1+2991.3</f>
        <v>2992.4</v>
      </c>
      <c r="M41" s="3">
        <f>2981.4+4375.4+1000.3</f>
        <v>8357.0999999999985</v>
      </c>
      <c r="N41" s="3">
        <f>1000.5+2982</f>
        <v>3982.5</v>
      </c>
      <c r="O41" s="3">
        <f>1.1+2991.3</f>
        <v>2992.4</v>
      </c>
    </row>
    <row r="42" spans="2:15" s="3" customFormat="1" x14ac:dyDescent="0.2">
      <c r="B42" s="3" t="s">
        <v>20</v>
      </c>
      <c r="C42" s="4"/>
      <c r="D42" s="4"/>
      <c r="E42" s="4"/>
      <c r="F42" s="4"/>
      <c r="G42" s="4"/>
      <c r="H42" s="4"/>
      <c r="I42" s="4"/>
      <c r="J42" s="4"/>
      <c r="K42" s="4"/>
      <c r="L42" s="3">
        <v>15.1</v>
      </c>
      <c r="M42" s="3">
        <v>170.4</v>
      </c>
      <c r="N42" s="3">
        <v>4.4000000000000004</v>
      </c>
      <c r="O42" s="3">
        <v>15.1</v>
      </c>
    </row>
    <row r="43" spans="2:15" s="3" customFormat="1" x14ac:dyDescent="0.2">
      <c r="B43" s="3" t="s">
        <v>38</v>
      </c>
      <c r="C43" s="4"/>
      <c r="D43" s="4"/>
      <c r="E43" s="4"/>
      <c r="F43" s="4"/>
      <c r="G43" s="4"/>
      <c r="H43" s="4"/>
      <c r="I43" s="4"/>
      <c r="J43" s="4"/>
      <c r="K43" s="4"/>
      <c r="L43" s="3">
        <v>39503.9</v>
      </c>
      <c r="M43" s="3">
        <v>28720.9</v>
      </c>
      <c r="N43" s="3">
        <v>48482.2</v>
      </c>
      <c r="O43" s="3">
        <v>39503.9</v>
      </c>
    </row>
    <row r="44" spans="2:15" s="3" customFormat="1" x14ac:dyDescent="0.2">
      <c r="B44" s="3" t="s">
        <v>37</v>
      </c>
      <c r="C44" s="4"/>
      <c r="D44" s="4"/>
      <c r="E44" s="4"/>
      <c r="F44" s="4"/>
      <c r="G44" s="4"/>
      <c r="H44" s="4"/>
      <c r="I44" s="4"/>
      <c r="J44" s="4"/>
      <c r="K44" s="4"/>
      <c r="L44" s="3">
        <v>328.6</v>
      </c>
      <c r="M44" s="3">
        <v>316.10000000000002</v>
      </c>
      <c r="N44" s="3">
        <v>300.3</v>
      </c>
      <c r="O44" s="3">
        <v>328.6</v>
      </c>
    </row>
    <row r="45" spans="2:15" x14ac:dyDescent="0.2">
      <c r="B45" s="3" t="s">
        <v>41</v>
      </c>
      <c r="L45" s="3">
        <v>990.8</v>
      </c>
      <c r="M45" s="3">
        <v>977</v>
      </c>
      <c r="N45" s="3">
        <v>999.3</v>
      </c>
      <c r="O45" s="3">
        <v>990.8</v>
      </c>
    </row>
    <row r="46" spans="2:15" x14ac:dyDescent="0.2">
      <c r="B46" s="3" t="s">
        <v>20</v>
      </c>
      <c r="L46" s="3">
        <v>64.3</v>
      </c>
      <c r="M46" s="3">
        <v>154.4</v>
      </c>
      <c r="N46" s="3">
        <v>90.8</v>
      </c>
      <c r="O46" s="3">
        <v>64.3</v>
      </c>
    </row>
    <row r="47" spans="2:15" x14ac:dyDescent="0.2">
      <c r="B47" s="3" t="s">
        <v>40</v>
      </c>
      <c r="L47" s="3">
        <v>360.1</v>
      </c>
      <c r="M47" s="3">
        <v>361.5</v>
      </c>
      <c r="N47" s="3">
        <v>343.1</v>
      </c>
      <c r="O47" s="3">
        <v>360.1</v>
      </c>
    </row>
    <row r="48" spans="2:15" x14ac:dyDescent="0.2">
      <c r="B48" t="s">
        <v>39</v>
      </c>
      <c r="L48" s="3">
        <f>SUM(L35:L47)</f>
        <v>49815.100000000006</v>
      </c>
      <c r="M48" s="3">
        <f>SUM(M35:M47)</f>
        <v>44162.8</v>
      </c>
      <c r="N48" s="3">
        <f>SUM(N35:N47)</f>
        <v>59018.600000000006</v>
      </c>
      <c r="O48" s="3">
        <f>SUM(O35:O47)</f>
        <v>49815.100000000006</v>
      </c>
    </row>
    <row r="49" spans="2:29" x14ac:dyDescent="0.2">
      <c r="B49" s="3" t="s">
        <v>44</v>
      </c>
      <c r="M49" s="4">
        <v>5348.6</v>
      </c>
      <c r="N49" s="4">
        <v>5078.1000000000004</v>
      </c>
      <c r="O49" s="3"/>
    </row>
    <row r="50" spans="2:29" x14ac:dyDescent="0.2">
      <c r="B50" s="3" t="s">
        <v>43</v>
      </c>
      <c r="M50" s="4">
        <f>+M48+M49</f>
        <v>49511.4</v>
      </c>
      <c r="N50" s="4">
        <f>+N48+N49</f>
        <v>64096.700000000004</v>
      </c>
      <c r="O50" s="3"/>
    </row>
    <row r="52" spans="2:29" s="3" customFormat="1" x14ac:dyDescent="0.2">
      <c r="B52" s="3" t="s">
        <v>53</v>
      </c>
      <c r="C52" s="4"/>
      <c r="D52" s="4"/>
      <c r="E52" s="4"/>
      <c r="F52" s="4"/>
      <c r="G52" s="4"/>
      <c r="H52" s="4"/>
      <c r="I52" s="4">
        <v>326.5</v>
      </c>
      <c r="J52" s="4">
        <f>1358.9-I52</f>
        <v>1032.4000000000001</v>
      </c>
      <c r="K52" s="4">
        <f>2857-J52-I52</f>
        <v>1498.1</v>
      </c>
      <c r="L52" s="4">
        <f>4157.6-K52-J52-I52</f>
        <v>1300.6000000000004</v>
      </c>
      <c r="M52" s="4">
        <v>824.4</v>
      </c>
      <c r="N52" s="4">
        <f>1974.7-M52</f>
        <v>1150.3000000000002</v>
      </c>
      <c r="O52" s="3">
        <f>3500.5-N52-M52</f>
        <v>1525.7999999999997</v>
      </c>
      <c r="P52" s="3">
        <f>+L52</f>
        <v>1300.6000000000004</v>
      </c>
      <c r="S52" s="3">
        <v>2688.3</v>
      </c>
      <c r="T52" s="3">
        <v>3026.2</v>
      </c>
      <c r="U52" s="3">
        <v>3093.3</v>
      </c>
      <c r="V52" s="3">
        <v>3099.5</v>
      </c>
      <c r="W52" s="3">
        <v>4207.6000000000004</v>
      </c>
      <c r="X52" s="3">
        <f>SUM(I52:L52)</f>
        <v>4157.6000000000004</v>
      </c>
      <c r="Y52" s="3">
        <f>SUM(M52:P52)</f>
        <v>4801.1000000000004</v>
      </c>
    </row>
    <row r="53" spans="2:29" s="3" customFormat="1" x14ac:dyDescent="0.2">
      <c r="B53" s="3" t="s">
        <v>55</v>
      </c>
      <c r="C53" s="4"/>
      <c r="D53" s="4"/>
      <c r="E53" s="4"/>
      <c r="F53" s="4"/>
      <c r="G53" s="4"/>
      <c r="H53" s="4"/>
      <c r="I53" s="4">
        <v>39.299999999999997</v>
      </c>
      <c r="J53" s="4">
        <f>94.1-I53</f>
        <v>54.8</v>
      </c>
      <c r="K53" s="4">
        <f>153.7-J53-I53</f>
        <v>59.599999999999994</v>
      </c>
      <c r="L53" s="4">
        <f>208.4-K53-J53-I53</f>
        <v>54.700000000000017</v>
      </c>
      <c r="M53" s="4">
        <v>58.8</v>
      </c>
      <c r="N53" s="4">
        <f>98.2-M53</f>
        <v>39.400000000000006</v>
      </c>
      <c r="O53" s="3">
        <f>134.6-N53-M53</f>
        <v>36.399999999999991</v>
      </c>
      <c r="P53" s="3">
        <f>+L53</f>
        <v>54.700000000000017</v>
      </c>
      <c r="S53" s="3">
        <v>162</v>
      </c>
      <c r="T53" s="3">
        <v>172.7</v>
      </c>
      <c r="U53" s="3">
        <v>178.6</v>
      </c>
      <c r="V53" s="3">
        <v>174.4</v>
      </c>
      <c r="W53" s="3">
        <v>206.3</v>
      </c>
      <c r="X53" s="3">
        <f>SUM(I53:L53)</f>
        <v>208.4</v>
      </c>
      <c r="Y53" s="3">
        <f>SUM(M53:P53)</f>
        <v>189.3</v>
      </c>
    </row>
    <row r="54" spans="2:29" s="3" customFormat="1" x14ac:dyDescent="0.2">
      <c r="B54" s="3" t="s">
        <v>54</v>
      </c>
      <c r="C54" s="4"/>
      <c r="D54" s="4"/>
      <c r="E54" s="4"/>
      <c r="F54" s="4"/>
      <c r="G54" s="4"/>
      <c r="H54" s="4"/>
      <c r="I54" s="4">
        <f t="shared" ref="I54:O54" si="23">+I52-I53</f>
        <v>287.2</v>
      </c>
      <c r="J54" s="4">
        <f t="shared" si="23"/>
        <v>977.60000000000014</v>
      </c>
      <c r="K54" s="4">
        <f t="shared" si="23"/>
        <v>1438.5</v>
      </c>
      <c r="L54" s="4">
        <f t="shared" si="23"/>
        <v>1245.9000000000003</v>
      </c>
      <c r="M54" s="4">
        <f t="shared" si="23"/>
        <v>765.6</v>
      </c>
      <c r="N54" s="4">
        <f t="shared" si="23"/>
        <v>1110.9000000000001</v>
      </c>
      <c r="O54" s="4">
        <f t="shared" si="23"/>
        <v>1489.3999999999996</v>
      </c>
      <c r="P54" s="3">
        <f>+L54</f>
        <v>1245.9000000000003</v>
      </c>
      <c r="S54" s="3">
        <f t="shared" ref="S54:T54" si="24">+S52-S53</f>
        <v>2526.3000000000002</v>
      </c>
      <c r="T54" s="3">
        <f t="shared" si="24"/>
        <v>2853.5</v>
      </c>
      <c r="U54" s="3">
        <f>+U52-U53</f>
        <v>2914.7000000000003</v>
      </c>
      <c r="V54" s="3">
        <f>+V52-V53</f>
        <v>2925.1</v>
      </c>
      <c r="W54" s="3">
        <f>+W52-W53</f>
        <v>4001.3</v>
      </c>
      <c r="X54" s="3">
        <f>+X52-X53</f>
        <v>3949.2000000000003</v>
      </c>
      <c r="Y54" s="3">
        <f>+Y52-Y53</f>
        <v>4611.8</v>
      </c>
      <c r="Z54" s="3">
        <f>+Y54*1.1</f>
        <v>5072.9800000000005</v>
      </c>
      <c r="AA54" s="3">
        <f>+Z54*1.1</f>
        <v>5580.2780000000012</v>
      </c>
      <c r="AB54" s="3">
        <f>+AA54*1.1</f>
        <v>6138.3058000000019</v>
      </c>
      <c r="AC54" s="3">
        <f>+AB54*1.1</f>
        <v>6752.1363800000026</v>
      </c>
    </row>
    <row r="55" spans="2:29" x14ac:dyDescent="0.2">
      <c r="T55" s="10">
        <f t="shared" ref="T55:AC55" si="25">+T54/S54-1</f>
        <v>0.1295174761508926</v>
      </c>
      <c r="U55" s="10">
        <f t="shared" si="25"/>
        <v>2.1447345365340986E-2</v>
      </c>
      <c r="V55" s="10">
        <f t="shared" si="25"/>
        <v>3.5681202182040739E-3</v>
      </c>
      <c r="W55" s="10">
        <f t="shared" si="25"/>
        <v>0.36791904550271792</v>
      </c>
      <c r="X55" s="10">
        <f t="shared" si="25"/>
        <v>-1.3020768250318615E-2</v>
      </c>
      <c r="Y55" s="10">
        <f t="shared" si="25"/>
        <v>0.16778081636787201</v>
      </c>
      <c r="Z55" s="10">
        <f t="shared" si="25"/>
        <v>0.10000000000000009</v>
      </c>
      <c r="AA55" s="10">
        <f t="shared" si="25"/>
        <v>0.10000000000000009</v>
      </c>
      <c r="AB55" s="10">
        <f t="shared" si="25"/>
        <v>0.10000000000000009</v>
      </c>
      <c r="AC55" s="10">
        <f t="shared" si="25"/>
        <v>0.10000000000000009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2025-05-02T16:25:30Z</dcterms:created>
  <dcterms:modified xsi:type="dcterms:W3CDTF">2025-10-07T15:43:45Z</dcterms:modified>
</cp:coreProperties>
</file>