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aben\Downloads\"/>
    </mc:Choice>
  </mc:AlternateContent>
  <xr:revisionPtr revIDLastSave="0" documentId="8_{DD72DAEA-C583-4F90-824F-E5CA6B11C263}" xr6:coauthVersionLast="47" xr6:coauthVersionMax="47" xr10:uidLastSave="{00000000-0000-0000-0000-000000000000}"/>
  <bookViews>
    <workbookView xWindow="3630" yWindow="3630" windowWidth="18075" windowHeight="16020" xr2:uid="{8FCE8A41-16C1-4EF7-92D6-76FBB8A04D3E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2" i="2" l="1"/>
  <c r="I71" i="2"/>
  <c r="J29" i="2"/>
  <c r="J71" i="2"/>
  <c r="K71" i="2"/>
  <c r="L71" i="2"/>
  <c r="M71" i="2"/>
  <c r="L22" i="2"/>
  <c r="K22" i="2"/>
  <c r="J22" i="2"/>
  <c r="M29" i="2"/>
  <c r="L29" i="2"/>
  <c r="K29" i="2"/>
  <c r="L20" i="2"/>
  <c r="K20" i="2"/>
  <c r="J20" i="2"/>
  <c r="L16" i="2"/>
  <c r="L31" i="2" s="1"/>
  <c r="K16" i="2"/>
  <c r="K31" i="2" s="1"/>
  <c r="J16" i="2"/>
  <c r="J31" i="2" s="1"/>
  <c r="F35" i="2"/>
  <c r="F40" i="2"/>
  <c r="P2" i="2"/>
  <c r="Q2" i="2" s="1"/>
  <c r="R2" i="2" s="1"/>
  <c r="S2" i="2" s="1"/>
  <c r="T2" i="2" s="1"/>
  <c r="U2" i="2" s="1"/>
  <c r="V2" i="2" s="1"/>
  <c r="W2" i="2" s="1"/>
  <c r="X2" i="2" s="1"/>
  <c r="Y2" i="2" s="1"/>
  <c r="Z2" i="2" s="1"/>
  <c r="AA2" i="2" s="1"/>
  <c r="O22" i="2"/>
  <c r="N22" i="2"/>
  <c r="M22" i="2"/>
  <c r="K7" i="1"/>
  <c r="O71" i="2"/>
  <c r="N71" i="2"/>
  <c r="O20" i="2"/>
  <c r="N20" i="2"/>
  <c r="M20" i="2"/>
  <c r="M16" i="2"/>
  <c r="M31" i="2" s="1"/>
  <c r="O30" i="2"/>
  <c r="O13" i="2"/>
  <c r="O14" i="2" s="1"/>
  <c r="O16" i="2" s="1"/>
  <c r="O31" i="2" s="1"/>
  <c r="N13" i="2"/>
  <c r="N14" i="2" s="1"/>
  <c r="N29" i="2" s="1"/>
  <c r="G69" i="2"/>
  <c r="G63" i="2"/>
  <c r="G64" i="2" s="1"/>
  <c r="G58" i="2"/>
  <c r="G59" i="2" s="1"/>
  <c r="G44" i="2"/>
  <c r="G50" i="2" s="1"/>
  <c r="G40" i="2"/>
  <c r="G35" i="2"/>
  <c r="G34" i="2" s="1"/>
  <c r="C20" i="2"/>
  <c r="G20" i="2"/>
  <c r="C16" i="2"/>
  <c r="G16" i="2"/>
  <c r="G31" i="2" s="1"/>
  <c r="G29" i="2"/>
  <c r="K4" i="1"/>
  <c r="F42" i="2" l="1"/>
  <c r="L21" i="2"/>
  <c r="L32" i="2" s="1"/>
  <c r="K21" i="2"/>
  <c r="K32" i="2" s="1"/>
  <c r="G42" i="2"/>
  <c r="N16" i="2"/>
  <c r="O21" i="2"/>
  <c r="O32" i="2" s="1"/>
  <c r="J21" i="2"/>
  <c r="M21" i="2"/>
  <c r="M32" i="2" s="1"/>
  <c r="F34" i="2"/>
  <c r="O29" i="2"/>
  <c r="C21" i="2"/>
  <c r="C23" i="2" s="1"/>
  <c r="C25" i="2" s="1"/>
  <c r="C26" i="2" s="1"/>
  <c r="G21" i="2"/>
  <c r="K23" i="2" l="1"/>
  <c r="K25" i="2" s="1"/>
  <c r="L23" i="2"/>
  <c r="L25" i="2" s="1"/>
  <c r="O23" i="2"/>
  <c r="O25" i="2" s="1"/>
  <c r="J23" i="2"/>
  <c r="J25" i="2" s="1"/>
  <c r="J32" i="2"/>
  <c r="K26" i="2"/>
  <c r="K52" i="2"/>
  <c r="N21" i="2"/>
  <c r="N31" i="2"/>
  <c r="L26" i="2"/>
  <c r="L52" i="2"/>
  <c r="M23" i="2"/>
  <c r="M25" i="2" s="1"/>
  <c r="G32" i="2"/>
  <c r="G23" i="2"/>
  <c r="G25" i="2" s="1"/>
  <c r="N32" i="2" l="1"/>
  <c r="N23" i="2"/>
  <c r="N25" i="2" s="1"/>
  <c r="J26" i="2"/>
  <c r="J52" i="2"/>
  <c r="O52" i="2"/>
  <c r="O26" i="2"/>
  <c r="M52" i="2"/>
  <c r="M26" i="2"/>
  <c r="G26" i="2"/>
  <c r="G52" i="2"/>
  <c r="N26" i="2" l="1"/>
  <c r="N52" i="2"/>
</calcChain>
</file>

<file path=xl/sharedStrings.xml><?xml version="1.0" encoding="utf-8"?>
<sst xmlns="http://schemas.openxmlformats.org/spreadsheetml/2006/main" count="83" uniqueCount="75">
  <si>
    <t>Price</t>
  </si>
  <si>
    <t>Shares</t>
  </si>
  <si>
    <t>MC</t>
  </si>
  <si>
    <t>Cash</t>
  </si>
  <si>
    <t>Debt</t>
  </si>
  <si>
    <t>EV</t>
  </si>
  <si>
    <t>Main</t>
  </si>
  <si>
    <t>Revenue</t>
  </si>
  <si>
    <t>COGS</t>
  </si>
  <si>
    <t>Gross Profit</t>
  </si>
  <si>
    <t>R&amp;D</t>
  </si>
  <si>
    <t>S&amp;M</t>
  </si>
  <si>
    <t>G&amp;A</t>
  </si>
  <si>
    <t>Revenue y/y</t>
  </si>
  <si>
    <t>Gross Margin</t>
  </si>
  <si>
    <t>Operating Margin</t>
  </si>
  <si>
    <t>Operating Expenses</t>
  </si>
  <si>
    <t>Operating Income</t>
  </si>
  <si>
    <t>Interest Income</t>
  </si>
  <si>
    <t>Pretax Income</t>
  </si>
  <si>
    <t>Taxes</t>
  </si>
  <si>
    <t>Net Income</t>
  </si>
  <si>
    <t>EPS</t>
  </si>
  <si>
    <t>PP&amp;E</t>
  </si>
  <si>
    <t>AR</t>
  </si>
  <si>
    <t>Inventories</t>
  </si>
  <si>
    <t>OCA</t>
  </si>
  <si>
    <t>Goodwill</t>
  </si>
  <si>
    <t>DT</t>
  </si>
  <si>
    <t>Assets</t>
  </si>
  <si>
    <t>AP</t>
  </si>
  <si>
    <t>Contract</t>
  </si>
  <si>
    <t>SE</t>
  </si>
  <si>
    <t>L+SE</t>
  </si>
  <si>
    <t>Other</t>
  </si>
  <si>
    <t>CFFO</t>
  </si>
  <si>
    <t>WC</t>
  </si>
  <si>
    <t>Reported NI</t>
  </si>
  <si>
    <t>Model NI</t>
  </si>
  <si>
    <t>D&amp;A</t>
  </si>
  <si>
    <t>SBC</t>
  </si>
  <si>
    <t>CFFI</t>
  </si>
  <si>
    <t>CapEx</t>
  </si>
  <si>
    <t>Acquisitions</t>
  </si>
  <si>
    <t>Investments</t>
  </si>
  <si>
    <t>Buybacks</t>
  </si>
  <si>
    <t>CFFF</t>
  </si>
  <si>
    <t>ESOP</t>
  </si>
  <si>
    <t>Dividends</t>
  </si>
  <si>
    <t>Founded</t>
  </si>
  <si>
    <t>Semi y/y</t>
  </si>
  <si>
    <t>Services</t>
  </si>
  <si>
    <t>Semiconductor Backlog</t>
  </si>
  <si>
    <t>Varian acquisition 2011</t>
  </si>
  <si>
    <t>Services Backlog</t>
  </si>
  <si>
    <t>Semiconductor Systems</t>
  </si>
  <si>
    <t>Display+Other</t>
  </si>
  <si>
    <t>China</t>
  </si>
  <si>
    <t>US</t>
  </si>
  <si>
    <t>Korea</t>
  </si>
  <si>
    <t>Taiwan</t>
  </si>
  <si>
    <t>Net Cash</t>
  </si>
  <si>
    <t>Q424</t>
  </si>
  <si>
    <t>FCF</t>
  </si>
  <si>
    <t xml:space="preserve">Wafer fabrication — Display fabrication tools  </t>
  </si>
  <si>
    <t xml:space="preserve">300mm equipment — Used to fabricate semiconductor chips/integrated circuits (ICs)  </t>
  </si>
  <si>
    <t xml:space="preserve">Materials engineering — Process optimization and control  </t>
  </si>
  <si>
    <t xml:space="preserve">Advanced packaging — High-density interconnect solutions  </t>
  </si>
  <si>
    <t xml:space="preserve">Pattern conversion — Etching and lithography technologies  </t>
  </si>
  <si>
    <t xml:space="preserve">Transistor/interconnect fabrication — Core logic and memory manufacturing  </t>
  </si>
  <si>
    <t xml:space="preserve">Metrology — Measurement and process verification  </t>
  </si>
  <si>
    <t xml:space="preserve">Inspection/review — Defect analysis and yield improvement  </t>
  </si>
  <si>
    <t xml:space="preserve">Packaging technologies — Connecting finished IC die  </t>
  </si>
  <si>
    <t xml:space="preserve">Samsung — 15% (2023), 12% (2024)  </t>
  </si>
  <si>
    <t>TSMC — 19% (2023), 11% (2024)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</si>
</sst>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m/d/yy;@"/>
    <numFmt numFmtId="165" formatCode="yyyy/mm/dd;@"/>
  </numFmts>
  <fonts count="2" x14ac:knownFonts="1"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4" fontId="0" fillId="0" borderId="0" xfId="0" applyNumberFormat="1"/>
    <xf numFmtId="3" fontId="0" fillId="0" borderId="0" xfId="0" applyNumberFormat="1"/>
    <xf numFmtId="9" fontId="0" fillId="0" borderId="0" xfId="0" applyNumberFormat="1"/>
    <xf numFmtId="164" fontId="0" fillId="0" borderId="0" xfId="0" applyNumberFormat="1"/>
    <xf numFmtId="0" fontId="0" fillId="0" borderId="0" xfId="0" quotePrefix="1"/>
    <xf numFmtId="1" fontId="0" fillId="0" borderId="0" xfId="0" applyNumberFormat="1"/>
    <xf numFmtId="3" fontId="1" fillId="0" borderId="0" xfId="0" applyNumberFormat="1" applyFont="1"/>
    <xf numFmtId="0" fontId="0" fillId="0" borderId="0" xfId="0" applyAlignment="1">
      <alignment horizontal="right"/>
    </xf>
    <xf numFmtId="4" fontId="1" fillId="0" borderId="0" xfId="0" applyNumberFormat="1" applyFont="1"/>
    <xf numFmtId="0" fontId="1" fillId="0" borderId="0" xfId="0" applyFont="1"/>
    <xf numFmtId="9" fontId="1" fillId="0" borderId="0" xfId="0" applyNumberFormat="1" applyFont="1"/>
    <xf numFmtId="165" fontId="0" fillId="0" borderId="0" xfId="0" applyNumberForma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56868677-55A2-4358-B2BB-492424D0F7A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32658</xdr:colOff>
      <xdr:row>0</xdr:row>
      <xdr:rowOff>0</xdr:rowOff>
    </xdr:from>
    <xdr:to>
      <xdr:col>7</xdr:col>
      <xdr:colOff>32658</xdr:colOff>
      <xdr:row>76</xdr:row>
      <xdr:rowOff>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C48EE6FA-794A-951E-5F50-3E239A75E344}"/>
            </a:ext>
          </a:extLst>
        </xdr:cNvPr>
        <xdr:cNvCxnSpPr/>
      </xdr:nvCxnSpPr>
      <xdr:spPr>
        <a:xfrm>
          <a:off x="4708072" y="0"/>
          <a:ext cx="0" cy="10450286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4053</xdr:colOff>
      <xdr:row>0</xdr:row>
      <xdr:rowOff>24319</xdr:rowOff>
    </xdr:from>
    <xdr:to>
      <xdr:col>15</xdr:col>
      <xdr:colOff>4053</xdr:colOff>
      <xdr:row>77</xdr:row>
      <xdr:rowOff>60403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C000598C-954E-3298-CB29-005411DE8486}"/>
            </a:ext>
          </a:extLst>
        </xdr:cNvPr>
        <xdr:cNvCxnSpPr/>
      </xdr:nvCxnSpPr>
      <xdr:spPr>
        <a:xfrm>
          <a:off x="12772199" y="24319"/>
          <a:ext cx="0" cy="12557974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69B30-572B-4034-92C9-B307A12C2221}">
  <dimension ref="B2:L13"/>
  <sheetViews>
    <sheetView tabSelected="1" zoomScaleNormal="100" workbookViewId="0">
      <selection activeCell="M3" sqref="M3"/>
    </sheetView>
  </sheetViews>
  <sheetFormatPr defaultRowHeight="12.75" x14ac:dyDescent="0.2"/>
  <cols>
    <col min="11" max="11" width="9.7109375" bestFit="1" customWidth="1"/>
  </cols>
  <sheetData>
    <row r="2" spans="2:12" x14ac:dyDescent="0.2">
      <c r="B2" s="5" t="s">
        <v>64</v>
      </c>
      <c r="J2" t="s">
        <v>0</v>
      </c>
      <c r="K2" s="1">
        <v>145.4</v>
      </c>
    </row>
    <row r="3" spans="2:12" x14ac:dyDescent="0.2">
      <c r="B3" t="s">
        <v>65</v>
      </c>
      <c r="J3" t="s">
        <v>1</v>
      </c>
      <c r="K3" s="2">
        <v>812.44084899999996</v>
      </c>
      <c r="L3" s="8" t="s">
        <v>62</v>
      </c>
    </row>
    <row r="4" spans="2:12" x14ac:dyDescent="0.2">
      <c r="B4" t="s">
        <v>66</v>
      </c>
      <c r="J4" t="s">
        <v>2</v>
      </c>
      <c r="K4" s="2">
        <f>+K2*K3</f>
        <v>118128.8994446</v>
      </c>
    </row>
    <row r="5" spans="2:12" x14ac:dyDescent="0.2">
      <c r="B5" t="s">
        <v>67</v>
      </c>
      <c r="J5" t="s">
        <v>3</v>
      </c>
      <c r="K5" s="2">
        <v>10899</v>
      </c>
      <c r="L5" s="8" t="s">
        <v>62</v>
      </c>
    </row>
    <row r="6" spans="2:12" x14ac:dyDescent="0.2">
      <c r="B6" t="s">
        <v>68</v>
      </c>
      <c r="J6" t="s">
        <v>4</v>
      </c>
      <c r="K6" s="2">
        <v>6260</v>
      </c>
      <c r="L6" s="8" t="s">
        <v>62</v>
      </c>
    </row>
    <row r="7" spans="2:12" x14ac:dyDescent="0.2">
      <c r="B7" t="s">
        <v>69</v>
      </c>
      <c r="J7" t="s">
        <v>5</v>
      </c>
      <c r="K7" s="2">
        <f>+K4-K5+K6</f>
        <v>113489.8994446</v>
      </c>
    </row>
    <row r="8" spans="2:12" x14ac:dyDescent="0.2">
      <c r="B8" t="s">
        <v>70</v>
      </c>
    </row>
    <row r="9" spans="2:12" x14ac:dyDescent="0.2">
      <c r="B9" t="s">
        <v>71</v>
      </c>
      <c r="J9" t="s">
        <v>49</v>
      </c>
      <c r="K9">
        <v>1967</v>
      </c>
    </row>
    <row r="10" spans="2:12" x14ac:dyDescent="0.2">
      <c r="B10" t="s">
        <v>72</v>
      </c>
    </row>
    <row r="11" spans="2:12" x14ac:dyDescent="0.2">
      <c r="J11" t="s">
        <v>53</v>
      </c>
    </row>
    <row r="12" spans="2:12" x14ac:dyDescent="0.2">
      <c r="B12" t="s">
        <v>73</v>
      </c>
    </row>
    <row r="13" spans="2:12" x14ac:dyDescent="0.2">
      <c r="B13" t="s">
        <v>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CC328-206B-416D-93E7-7AB15E2A4BC1}">
  <dimension ref="A1:AA71"/>
  <sheetViews>
    <sheetView zoomScaleNormal="100" workbookViewId="0">
      <pane xSplit="2" ySplit="2" topLeftCell="F3" activePane="bottomRight" state="frozen"/>
      <selection pane="topRight" activeCell="C1" sqref="C1"/>
      <selection pane="bottomLeft" activeCell="A3" sqref="A3"/>
      <selection pane="bottomRight" activeCell="S34" sqref="S34"/>
    </sheetView>
  </sheetViews>
  <sheetFormatPr defaultRowHeight="12.75" x14ac:dyDescent="0.2"/>
  <cols>
    <col min="1" max="1" width="5" bestFit="1" customWidth="1"/>
    <col min="2" max="2" width="20.85546875" customWidth="1"/>
    <col min="3" max="3" width="10.140625" bestFit="1" customWidth="1"/>
    <col min="7" max="7" width="10.42578125" customWidth="1"/>
  </cols>
  <sheetData>
    <row r="1" spans="1:27" x14ac:dyDescent="0.2">
      <c r="A1" t="s">
        <v>6</v>
      </c>
    </row>
    <row r="2" spans="1:27" s="4" customFormat="1" x14ac:dyDescent="0.2">
      <c r="C2" s="12">
        <v>45319</v>
      </c>
      <c r="D2" s="12"/>
      <c r="E2" s="12"/>
      <c r="F2" s="12"/>
      <c r="G2" s="12">
        <v>45683</v>
      </c>
      <c r="I2" s="6">
        <v>2018</v>
      </c>
      <c r="J2" s="6">
        <v>2019</v>
      </c>
      <c r="K2" s="6">
        <v>2020</v>
      </c>
      <c r="L2" s="6">
        <v>2021</v>
      </c>
      <c r="M2" s="6">
        <v>2022</v>
      </c>
      <c r="N2" s="6">
        <v>2023</v>
      </c>
      <c r="O2" s="6">
        <v>2024</v>
      </c>
      <c r="P2" s="6">
        <f t="shared" ref="P2:AA2" si="0">+O2+1</f>
        <v>2025</v>
      </c>
      <c r="Q2" s="6">
        <f t="shared" si="0"/>
        <v>2026</v>
      </c>
      <c r="R2" s="6">
        <f t="shared" si="0"/>
        <v>2027</v>
      </c>
      <c r="S2" s="6">
        <f t="shared" si="0"/>
        <v>2028</v>
      </c>
      <c r="T2" s="6">
        <f t="shared" si="0"/>
        <v>2029</v>
      </c>
      <c r="U2" s="6">
        <f t="shared" si="0"/>
        <v>2030</v>
      </c>
      <c r="V2" s="6">
        <f t="shared" si="0"/>
        <v>2031</v>
      </c>
      <c r="W2" s="6">
        <f t="shared" si="0"/>
        <v>2032</v>
      </c>
      <c r="X2" s="6">
        <f t="shared" si="0"/>
        <v>2033</v>
      </c>
      <c r="Y2" s="6">
        <f t="shared" si="0"/>
        <v>2034</v>
      </c>
      <c r="Z2" s="6">
        <f t="shared" si="0"/>
        <v>2035</v>
      </c>
      <c r="AA2" s="6">
        <f t="shared" si="0"/>
        <v>2036</v>
      </c>
    </row>
    <row r="3" spans="1:27" s="2" customFormat="1" x14ac:dyDescent="0.2">
      <c r="B3" s="2" t="s">
        <v>57</v>
      </c>
      <c r="N3" s="2">
        <v>7247</v>
      </c>
      <c r="O3" s="2">
        <v>10117</v>
      </c>
    </row>
    <row r="4" spans="1:27" s="2" customFormat="1" x14ac:dyDescent="0.2">
      <c r="B4" s="2" t="s">
        <v>59</v>
      </c>
      <c r="N4" s="2">
        <v>4609</v>
      </c>
      <c r="O4" s="2">
        <v>4493</v>
      </c>
    </row>
    <row r="5" spans="1:27" s="2" customFormat="1" x14ac:dyDescent="0.2">
      <c r="B5" s="2" t="s">
        <v>60</v>
      </c>
      <c r="N5" s="2">
        <v>5670</v>
      </c>
      <c r="O5" s="2">
        <v>4010</v>
      </c>
    </row>
    <row r="6" spans="1:27" s="2" customFormat="1" x14ac:dyDescent="0.2">
      <c r="B6" s="2" t="s">
        <v>58</v>
      </c>
      <c r="N6" s="2">
        <v>4006</v>
      </c>
      <c r="O6" s="2">
        <v>3818</v>
      </c>
    </row>
    <row r="7" spans="1:27" s="4" customFormat="1" x14ac:dyDescent="0.2">
      <c r="N7" s="6"/>
      <c r="O7" s="6"/>
    </row>
    <row r="8" spans="1:27" s="2" customFormat="1" x14ac:dyDescent="0.2">
      <c r="B8" s="2" t="s">
        <v>52</v>
      </c>
      <c r="N8" s="2">
        <v>11127</v>
      </c>
      <c r="O8" s="2">
        <v>8259</v>
      </c>
    </row>
    <row r="9" spans="1:27" s="2" customFormat="1" x14ac:dyDescent="0.2">
      <c r="B9" s="2" t="s">
        <v>54</v>
      </c>
      <c r="N9" s="2">
        <v>5162</v>
      </c>
      <c r="O9" s="2">
        <v>6767</v>
      </c>
    </row>
    <row r="10" spans="1:27" s="2" customFormat="1" x14ac:dyDescent="0.2"/>
    <row r="11" spans="1:27" s="2" customFormat="1" x14ac:dyDescent="0.2">
      <c r="B11" s="2" t="s">
        <v>55</v>
      </c>
      <c r="N11" s="2">
        <v>19698</v>
      </c>
      <c r="O11" s="2">
        <v>19911</v>
      </c>
    </row>
    <row r="12" spans="1:27" s="2" customFormat="1" x14ac:dyDescent="0.2">
      <c r="B12" s="2" t="s">
        <v>51</v>
      </c>
      <c r="N12" s="2">
        <v>5732</v>
      </c>
      <c r="O12" s="2">
        <v>6225</v>
      </c>
    </row>
    <row r="13" spans="1:27" s="2" customFormat="1" x14ac:dyDescent="0.2">
      <c r="B13" s="2" t="s">
        <v>56</v>
      </c>
      <c r="N13" s="2">
        <f>868+219</f>
        <v>1087</v>
      </c>
      <c r="O13" s="2">
        <f>885+155</f>
        <v>1040</v>
      </c>
    </row>
    <row r="14" spans="1:27" s="7" customFormat="1" x14ac:dyDescent="0.2">
      <c r="B14" s="7" t="s">
        <v>7</v>
      </c>
      <c r="C14" s="7">
        <v>6707</v>
      </c>
      <c r="G14" s="7">
        <v>7166</v>
      </c>
      <c r="I14" s="7">
        <v>17253</v>
      </c>
      <c r="J14" s="7">
        <v>14608</v>
      </c>
      <c r="K14" s="7">
        <v>17202</v>
      </c>
      <c r="L14" s="7">
        <v>23063</v>
      </c>
      <c r="M14" s="7">
        <v>25785</v>
      </c>
      <c r="N14" s="7">
        <f>SUM(N11:N13)</f>
        <v>26517</v>
      </c>
      <c r="O14" s="7">
        <f>SUM(O11:O13)</f>
        <v>27176</v>
      </c>
    </row>
    <row r="15" spans="1:27" s="2" customFormat="1" x14ac:dyDescent="0.2">
      <c r="B15" s="2" t="s">
        <v>8</v>
      </c>
      <c r="C15" s="2">
        <v>3503</v>
      </c>
      <c r="G15" s="2">
        <v>3670</v>
      </c>
      <c r="J15" s="2">
        <v>8222</v>
      </c>
      <c r="K15" s="2">
        <v>9510</v>
      </c>
      <c r="L15" s="2">
        <v>12149</v>
      </c>
      <c r="M15" s="2">
        <v>13792</v>
      </c>
      <c r="N15" s="2">
        <v>14133</v>
      </c>
      <c r="O15" s="2">
        <v>14279</v>
      </c>
    </row>
    <row r="16" spans="1:27" s="2" customFormat="1" x14ac:dyDescent="0.2">
      <c r="B16" s="2" t="s">
        <v>9</v>
      </c>
      <c r="C16" s="2">
        <f>+C14-C15</f>
        <v>3204</v>
      </c>
      <c r="G16" s="2">
        <f>+G14-G15</f>
        <v>3496</v>
      </c>
      <c r="J16" s="2">
        <f t="shared" ref="J16:O16" si="1">+J14-J15</f>
        <v>6386</v>
      </c>
      <c r="K16" s="2">
        <f t="shared" si="1"/>
        <v>7692</v>
      </c>
      <c r="L16" s="2">
        <f t="shared" si="1"/>
        <v>10914</v>
      </c>
      <c r="M16" s="2">
        <f t="shared" si="1"/>
        <v>11993</v>
      </c>
      <c r="N16" s="2">
        <f t="shared" si="1"/>
        <v>12384</v>
      </c>
      <c r="O16" s="2">
        <f t="shared" si="1"/>
        <v>12897</v>
      </c>
    </row>
    <row r="17" spans="2:15" s="2" customFormat="1" x14ac:dyDescent="0.2">
      <c r="B17" s="2" t="s">
        <v>10</v>
      </c>
      <c r="C17" s="2">
        <v>754</v>
      </c>
      <c r="G17" s="2">
        <v>859</v>
      </c>
      <c r="J17" s="2">
        <v>2054</v>
      </c>
      <c r="K17" s="2">
        <v>2234</v>
      </c>
      <c r="L17" s="2">
        <v>2485</v>
      </c>
      <c r="M17" s="2">
        <v>2771</v>
      </c>
      <c r="N17" s="2">
        <v>3102</v>
      </c>
      <c r="O17" s="2">
        <v>3233</v>
      </c>
    </row>
    <row r="18" spans="2:15" s="2" customFormat="1" x14ac:dyDescent="0.2">
      <c r="B18" s="2" t="s">
        <v>11</v>
      </c>
      <c r="C18" s="2">
        <v>207</v>
      </c>
      <c r="G18" s="2">
        <v>206</v>
      </c>
      <c r="J18" s="2">
        <v>521</v>
      </c>
      <c r="K18" s="2">
        <v>526</v>
      </c>
      <c r="L18" s="2">
        <v>609</v>
      </c>
      <c r="M18" s="2">
        <v>703</v>
      </c>
      <c r="N18" s="2">
        <v>776</v>
      </c>
      <c r="O18" s="2">
        <v>836</v>
      </c>
    </row>
    <row r="19" spans="2:15" s="2" customFormat="1" x14ac:dyDescent="0.2">
      <c r="B19" s="2" t="s">
        <v>12</v>
      </c>
      <c r="C19" s="2">
        <v>276</v>
      </c>
      <c r="G19" s="2">
        <v>256</v>
      </c>
      <c r="J19" s="2">
        <v>461</v>
      </c>
      <c r="K19" s="2">
        <v>567</v>
      </c>
      <c r="L19" s="2">
        <v>620</v>
      </c>
      <c r="M19" s="2">
        <v>735</v>
      </c>
      <c r="N19" s="2">
        <v>852</v>
      </c>
      <c r="O19" s="2">
        <v>961</v>
      </c>
    </row>
    <row r="20" spans="2:15" x14ac:dyDescent="0.2">
      <c r="B20" s="2" t="s">
        <v>16</v>
      </c>
      <c r="C20" s="2">
        <f t="shared" ref="C20:F20" si="2">SUM(C17:C19)</f>
        <v>1237</v>
      </c>
      <c r="D20" s="2"/>
      <c r="E20" s="2"/>
      <c r="F20" s="2"/>
      <c r="G20" s="2">
        <f>SUM(G17:G19)</f>
        <v>1321</v>
      </c>
      <c r="J20" s="2">
        <f t="shared" ref="J20:L20" si="3">SUM(J17:J19)</f>
        <v>3036</v>
      </c>
      <c r="K20" s="2">
        <f t="shared" si="3"/>
        <v>3327</v>
      </c>
      <c r="L20" s="2">
        <f t="shared" si="3"/>
        <v>3714</v>
      </c>
      <c r="M20" s="2">
        <f>SUM(M17:M19)</f>
        <v>4209</v>
      </c>
      <c r="N20" s="2">
        <f>SUM(N17:N19)</f>
        <v>4730</v>
      </c>
      <c r="O20" s="2">
        <f>SUM(O17:O19)</f>
        <v>5030</v>
      </c>
    </row>
    <row r="21" spans="2:15" x14ac:dyDescent="0.2">
      <c r="B21" s="2" t="s">
        <v>17</v>
      </c>
      <c r="C21" s="2">
        <f t="shared" ref="C21:F21" si="4">C16-C20</f>
        <v>1967</v>
      </c>
      <c r="D21" s="2"/>
      <c r="E21" s="2"/>
      <c r="F21" s="2"/>
      <c r="G21" s="2">
        <f>G16-G20</f>
        <v>2175</v>
      </c>
      <c r="J21" s="2">
        <f t="shared" ref="J21:L21" si="5">J16-J20</f>
        <v>3350</v>
      </c>
      <c r="K21" s="2">
        <f t="shared" si="5"/>
        <v>4365</v>
      </c>
      <c r="L21" s="2">
        <f t="shared" si="5"/>
        <v>7200</v>
      </c>
      <c r="M21" s="2">
        <f>M16-M20</f>
        <v>7784</v>
      </c>
      <c r="N21" s="2">
        <f>N16-N20</f>
        <v>7654</v>
      </c>
      <c r="O21" s="2">
        <f>O16-O20</f>
        <v>7867</v>
      </c>
    </row>
    <row r="22" spans="2:15" x14ac:dyDescent="0.2">
      <c r="B22" s="2" t="s">
        <v>18</v>
      </c>
      <c r="C22" s="2">
        <v>-59</v>
      </c>
      <c r="G22" s="2">
        <v>-64</v>
      </c>
      <c r="J22">
        <f>-237+156</f>
        <v>-81</v>
      </c>
      <c r="K22">
        <f>-240+41</f>
        <v>-199</v>
      </c>
      <c r="L22">
        <f>-236+118</f>
        <v>-118</v>
      </c>
      <c r="M22" s="2">
        <f>-228+39</f>
        <v>-189</v>
      </c>
      <c r="N22" s="2">
        <f>-238+300</f>
        <v>62</v>
      </c>
      <c r="O22" s="2">
        <f>-247+532</f>
        <v>285</v>
      </c>
    </row>
    <row r="23" spans="2:15" x14ac:dyDescent="0.2">
      <c r="B23" s="2" t="s">
        <v>19</v>
      </c>
      <c r="C23" s="2">
        <f t="shared" ref="C23:F23" si="6">+C21+C22</f>
        <v>1908</v>
      </c>
      <c r="D23" s="2"/>
      <c r="E23" s="2"/>
      <c r="F23" s="2"/>
      <c r="G23" s="2">
        <f>+G21+G22</f>
        <v>2111</v>
      </c>
      <c r="J23" s="2">
        <f t="shared" ref="J23" si="7">+J21+J22</f>
        <v>3269</v>
      </c>
      <c r="K23" s="2">
        <f t="shared" ref="K23" si="8">+K21+K22</f>
        <v>4166</v>
      </c>
      <c r="L23" s="2">
        <f t="shared" ref="L23" si="9">+L21+L22</f>
        <v>7082</v>
      </c>
      <c r="M23" s="2">
        <f t="shared" ref="M23:O23" si="10">+M21+M22</f>
        <v>7595</v>
      </c>
      <c r="N23" s="2">
        <f t="shared" si="10"/>
        <v>7716</v>
      </c>
      <c r="O23" s="2">
        <f t="shared" si="10"/>
        <v>8152</v>
      </c>
    </row>
    <row r="24" spans="2:15" s="2" customFormat="1" x14ac:dyDescent="0.2">
      <c r="B24" s="2" t="s">
        <v>20</v>
      </c>
      <c r="C24" s="2">
        <v>284</v>
      </c>
      <c r="G24" s="2">
        <v>934</v>
      </c>
      <c r="J24" s="2">
        <v>563</v>
      </c>
      <c r="K24" s="2">
        <v>547</v>
      </c>
      <c r="L24" s="2">
        <v>883</v>
      </c>
      <c r="M24" s="2">
        <v>1074</v>
      </c>
      <c r="N24" s="2">
        <v>860</v>
      </c>
      <c r="O24" s="2">
        <v>975</v>
      </c>
    </row>
    <row r="25" spans="2:15" x14ac:dyDescent="0.2">
      <c r="B25" s="2" t="s">
        <v>21</v>
      </c>
      <c r="C25" s="2">
        <f t="shared" ref="C25:F25" si="11">+C23-C24</f>
        <v>1624</v>
      </c>
      <c r="D25" s="2"/>
      <c r="E25" s="2"/>
      <c r="F25" s="2"/>
      <c r="G25" s="2">
        <f>+G23-G24</f>
        <v>1177</v>
      </c>
      <c r="J25" s="2">
        <f t="shared" ref="J25" si="12">+J23-J24</f>
        <v>2706</v>
      </c>
      <c r="K25" s="2">
        <f t="shared" ref="K25" si="13">+K23-K24</f>
        <v>3619</v>
      </c>
      <c r="L25" s="2">
        <f t="shared" ref="L25" si="14">+L23-L24</f>
        <v>6199</v>
      </c>
      <c r="M25" s="2">
        <f t="shared" ref="M25:O25" si="15">+M23-M24</f>
        <v>6521</v>
      </c>
      <c r="N25" s="2">
        <f t="shared" si="15"/>
        <v>6856</v>
      </c>
      <c r="O25" s="2">
        <f t="shared" si="15"/>
        <v>7177</v>
      </c>
    </row>
    <row r="26" spans="2:15" s="10" customFormat="1" x14ac:dyDescent="0.2">
      <c r="B26" s="7" t="s">
        <v>22</v>
      </c>
      <c r="C26" s="9">
        <f>+C25/C27</f>
        <v>1.94026284348865</v>
      </c>
      <c r="D26" s="9"/>
      <c r="E26" s="9"/>
      <c r="F26" s="9"/>
      <c r="G26" s="9">
        <f t="shared" ref="D26:G26" si="16">+G25/G27</f>
        <v>1.4371184371184371</v>
      </c>
      <c r="J26" s="9">
        <f t="shared" ref="J26:L26" si="17">+J25/J27</f>
        <v>2.8634920634920635</v>
      </c>
      <c r="K26" s="9">
        <f t="shared" si="17"/>
        <v>3.9209100758396533</v>
      </c>
      <c r="L26" s="9">
        <f t="shared" si="17"/>
        <v>6.7453754080522303</v>
      </c>
      <c r="M26" s="9">
        <f>+M25/M27</f>
        <v>7.4355758266818697</v>
      </c>
      <c r="N26" s="9">
        <f>+N25/N27</f>
        <v>8.1136094674556212</v>
      </c>
      <c r="O26" s="9">
        <f>+O25/O27</f>
        <v>8.6055155875299754</v>
      </c>
    </row>
    <row r="27" spans="2:15" x14ac:dyDescent="0.2">
      <c r="B27" s="2" t="s">
        <v>1</v>
      </c>
      <c r="C27" s="2">
        <v>837</v>
      </c>
      <c r="D27" s="2"/>
      <c r="E27" s="2"/>
      <c r="F27" s="2"/>
      <c r="G27" s="2">
        <v>819</v>
      </c>
      <c r="J27">
        <v>945</v>
      </c>
      <c r="K27">
        <v>923</v>
      </c>
      <c r="L27">
        <v>919</v>
      </c>
      <c r="M27">
        <v>877</v>
      </c>
      <c r="N27">
        <v>845</v>
      </c>
      <c r="O27">
        <v>834</v>
      </c>
    </row>
    <row r="29" spans="2:15" s="10" customFormat="1" x14ac:dyDescent="0.2">
      <c r="B29" s="10" t="s">
        <v>13</v>
      </c>
      <c r="G29" s="11">
        <f>+G14/C14-1</f>
        <v>6.8435962427314756E-2</v>
      </c>
      <c r="I29" s="11"/>
      <c r="J29" s="11">
        <f>+J14/I14-1</f>
        <v>-0.15330667130354136</v>
      </c>
      <c r="K29" s="11">
        <f t="shared" ref="K29:M29" si="18">+K14/J14-1</f>
        <v>0.17757393209200445</v>
      </c>
      <c r="L29" s="11">
        <f t="shared" si="18"/>
        <v>0.34071619579118706</v>
      </c>
      <c r="M29" s="11">
        <f t="shared" si="18"/>
        <v>0.11802454147335562</v>
      </c>
      <c r="N29" s="3">
        <f>+N14/M14-1</f>
        <v>2.8388598022105915E-2</v>
      </c>
      <c r="O29" s="3">
        <f>+O14/N14-1</f>
        <v>2.4851981747558094E-2</v>
      </c>
    </row>
    <row r="30" spans="2:15" x14ac:dyDescent="0.2">
      <c r="B30" s="2" t="s">
        <v>50</v>
      </c>
      <c r="G30" s="3"/>
      <c r="O30" s="3">
        <f>+O11/N11-1</f>
        <v>1.0813280536094982E-2</v>
      </c>
    </row>
    <row r="31" spans="2:15" x14ac:dyDescent="0.2">
      <c r="B31" t="s">
        <v>14</v>
      </c>
      <c r="G31" s="3">
        <f>+G16/G14</f>
        <v>0.487859335752163</v>
      </c>
      <c r="I31" s="3"/>
      <c r="J31" s="3">
        <f t="shared" ref="J31:L31" si="19">+J16/J14</f>
        <v>0.43715772179627599</v>
      </c>
      <c r="K31" s="3">
        <f t="shared" si="19"/>
        <v>0.44715730728985004</v>
      </c>
      <c r="L31" s="3">
        <f t="shared" si="19"/>
        <v>0.47322551272601138</v>
      </c>
      <c r="M31" s="3">
        <f>+M16/M14</f>
        <v>0.46511537715726198</v>
      </c>
      <c r="N31" s="3">
        <f>+N16/N14</f>
        <v>0.46702115623939361</v>
      </c>
      <c r="O31" s="3">
        <f>+O16/O14</f>
        <v>0.47457315278186635</v>
      </c>
    </row>
    <row r="32" spans="2:15" x14ac:dyDescent="0.2">
      <c r="B32" t="s">
        <v>15</v>
      </c>
      <c r="G32" s="3">
        <f>+G21/G14</f>
        <v>0.30351660619592519</v>
      </c>
      <c r="I32" s="3"/>
      <c r="J32" s="3">
        <f t="shared" ref="J32:L32" si="20">+J21/J14</f>
        <v>0.22932639649507119</v>
      </c>
      <c r="K32" s="3">
        <f t="shared" si="20"/>
        <v>0.25374956400418558</v>
      </c>
      <c r="L32" s="3">
        <f t="shared" si="20"/>
        <v>0.3121883536400295</v>
      </c>
      <c r="M32" s="3">
        <f>+M21/M14</f>
        <v>0.30188093853015319</v>
      </c>
      <c r="N32" s="3">
        <f>+N21/N14</f>
        <v>0.28864502017573634</v>
      </c>
      <c r="O32" s="3">
        <f>+O21/O14</f>
        <v>0.28948336767736238</v>
      </c>
    </row>
    <row r="34" spans="2:7" x14ac:dyDescent="0.2">
      <c r="B34" t="s">
        <v>61</v>
      </c>
      <c r="F34" s="2">
        <f>+F35-F44</f>
        <v>12258</v>
      </c>
      <c r="G34" s="2">
        <f>+G35-G44</f>
        <v>4639</v>
      </c>
    </row>
    <row r="35" spans="2:7" s="2" customFormat="1" x14ac:dyDescent="0.2">
      <c r="B35" s="2" t="s">
        <v>3</v>
      </c>
      <c r="F35" s="2">
        <f>8022+1449+2787</f>
        <v>12258</v>
      </c>
      <c r="G35" s="2">
        <f>6264+1949+2686</f>
        <v>10899</v>
      </c>
    </row>
    <row r="36" spans="2:7" s="2" customFormat="1" x14ac:dyDescent="0.2">
      <c r="B36" s="2" t="s">
        <v>24</v>
      </c>
      <c r="F36" s="2">
        <v>5234</v>
      </c>
      <c r="G36" s="2">
        <v>5998</v>
      </c>
    </row>
    <row r="37" spans="2:7" s="2" customFormat="1" x14ac:dyDescent="0.2">
      <c r="B37" s="2" t="s">
        <v>25</v>
      </c>
      <c r="F37" s="2">
        <v>5421</v>
      </c>
      <c r="G37" s="2">
        <v>5501</v>
      </c>
    </row>
    <row r="38" spans="2:7" s="2" customFormat="1" x14ac:dyDescent="0.2">
      <c r="B38" s="2" t="s">
        <v>26</v>
      </c>
      <c r="F38" s="2">
        <v>1094</v>
      </c>
      <c r="G38" s="2">
        <v>982</v>
      </c>
    </row>
    <row r="39" spans="2:7" s="7" customFormat="1" x14ac:dyDescent="0.2">
      <c r="B39" s="7" t="s">
        <v>23</v>
      </c>
      <c r="F39" s="7">
        <v>3563</v>
      </c>
      <c r="G39" s="7">
        <v>3563</v>
      </c>
    </row>
    <row r="40" spans="2:7" s="2" customFormat="1" x14ac:dyDescent="0.2">
      <c r="B40" s="2" t="s">
        <v>27</v>
      </c>
      <c r="F40" s="2">
        <f>3768+237</f>
        <v>4005</v>
      </c>
      <c r="G40" s="2">
        <f>3768+237</f>
        <v>4005</v>
      </c>
    </row>
    <row r="41" spans="2:7" s="2" customFormat="1" x14ac:dyDescent="0.2">
      <c r="B41" s="2" t="s">
        <v>28</v>
      </c>
      <c r="F41" s="2">
        <v>2390</v>
      </c>
      <c r="G41" s="2">
        <v>2390</v>
      </c>
    </row>
    <row r="42" spans="2:7" s="2" customFormat="1" x14ac:dyDescent="0.2">
      <c r="B42" s="2" t="s">
        <v>29</v>
      </c>
      <c r="F42" s="2">
        <f>SUM(F35:F41)</f>
        <v>33965</v>
      </c>
      <c r="G42" s="2">
        <f>SUM(G35:G41)</f>
        <v>33338</v>
      </c>
    </row>
    <row r="44" spans="2:7" s="2" customFormat="1" x14ac:dyDescent="0.2">
      <c r="B44" s="2" t="s">
        <v>4</v>
      </c>
      <c r="G44" s="2">
        <f>799+5461</f>
        <v>6260</v>
      </c>
    </row>
    <row r="45" spans="2:7" s="2" customFormat="1" x14ac:dyDescent="0.2">
      <c r="B45" s="2" t="s">
        <v>30</v>
      </c>
      <c r="G45" s="2">
        <v>4485</v>
      </c>
    </row>
    <row r="46" spans="2:7" s="2" customFormat="1" x14ac:dyDescent="0.2">
      <c r="B46" s="2" t="s">
        <v>31</v>
      </c>
      <c r="G46" s="2">
        <v>2452</v>
      </c>
    </row>
    <row r="47" spans="2:7" s="2" customFormat="1" x14ac:dyDescent="0.2">
      <c r="B47" s="2" t="s">
        <v>20</v>
      </c>
      <c r="G47" s="2">
        <v>684</v>
      </c>
    </row>
    <row r="48" spans="2:7" s="2" customFormat="1" x14ac:dyDescent="0.2">
      <c r="B48" s="2" t="s">
        <v>34</v>
      </c>
      <c r="G48" s="2">
        <v>832</v>
      </c>
    </row>
    <row r="49" spans="2:15" s="2" customFormat="1" x14ac:dyDescent="0.2">
      <c r="B49" s="2" t="s">
        <v>32</v>
      </c>
      <c r="G49" s="2">
        <v>18625</v>
      </c>
    </row>
    <row r="50" spans="2:15" s="2" customFormat="1" x14ac:dyDescent="0.2">
      <c r="B50" s="2" t="s">
        <v>33</v>
      </c>
      <c r="G50" s="2">
        <f>SUM(G44:G49)</f>
        <v>33338</v>
      </c>
    </row>
    <row r="52" spans="2:15" s="2" customFormat="1" x14ac:dyDescent="0.2">
      <c r="B52" s="2" t="s">
        <v>38</v>
      </c>
      <c r="G52" s="2">
        <f>+G25</f>
        <v>1177</v>
      </c>
      <c r="I52" s="2">
        <f t="shared" ref="I52" si="21">+I25</f>
        <v>0</v>
      </c>
      <c r="J52" s="2">
        <f t="shared" ref="J52:O52" si="22">+J25</f>
        <v>2706</v>
      </c>
      <c r="K52" s="2">
        <f t="shared" si="22"/>
        <v>3619</v>
      </c>
      <c r="L52" s="2">
        <f t="shared" si="22"/>
        <v>6199</v>
      </c>
      <c r="M52" s="2">
        <f t="shared" si="22"/>
        <v>6521</v>
      </c>
      <c r="N52" s="2">
        <f t="shared" si="22"/>
        <v>6856</v>
      </c>
      <c r="O52" s="2">
        <f t="shared" si="22"/>
        <v>7177</v>
      </c>
    </row>
    <row r="53" spans="2:15" s="2" customFormat="1" x14ac:dyDescent="0.2">
      <c r="B53" s="2" t="s">
        <v>37</v>
      </c>
      <c r="G53" s="2">
        <v>1185</v>
      </c>
      <c r="M53" s="2">
        <v>6525</v>
      </c>
      <c r="N53" s="2">
        <v>6856</v>
      </c>
      <c r="O53" s="2">
        <v>7177</v>
      </c>
    </row>
    <row r="54" spans="2:15" s="2" customFormat="1" x14ac:dyDescent="0.2">
      <c r="B54" s="2" t="s">
        <v>39</v>
      </c>
      <c r="G54" s="2">
        <v>105</v>
      </c>
    </row>
    <row r="55" spans="2:15" s="2" customFormat="1" x14ac:dyDescent="0.2">
      <c r="B55" s="2" t="s">
        <v>40</v>
      </c>
      <c r="G55" s="2">
        <v>195</v>
      </c>
    </row>
    <row r="56" spans="2:15" s="2" customFormat="1" x14ac:dyDescent="0.2">
      <c r="B56" s="2" t="s">
        <v>28</v>
      </c>
      <c r="G56" s="2">
        <v>668</v>
      </c>
    </row>
    <row r="57" spans="2:15" s="2" customFormat="1" x14ac:dyDescent="0.2">
      <c r="B57" s="2" t="s">
        <v>34</v>
      </c>
      <c r="G57" s="2">
        <v>95</v>
      </c>
    </row>
    <row r="58" spans="2:15" s="2" customFormat="1" x14ac:dyDescent="0.2">
      <c r="B58" s="2" t="s">
        <v>36</v>
      </c>
      <c r="G58" s="2">
        <f>-764-80+115-429-397+200+32</f>
        <v>-1323</v>
      </c>
    </row>
    <row r="59" spans="2:15" s="2" customFormat="1" x14ac:dyDescent="0.2">
      <c r="B59" s="2" t="s">
        <v>35</v>
      </c>
      <c r="G59" s="2">
        <f>SUM(G53:G58)</f>
        <v>925</v>
      </c>
      <c r="I59" s="2">
        <v>3787</v>
      </c>
      <c r="J59" s="2">
        <v>3247</v>
      </c>
      <c r="K59" s="2">
        <v>3804</v>
      </c>
      <c r="L59" s="2">
        <v>5442</v>
      </c>
      <c r="M59" s="2">
        <v>5399</v>
      </c>
      <c r="N59" s="2">
        <v>8700</v>
      </c>
      <c r="O59" s="2">
        <v>8677</v>
      </c>
    </row>
    <row r="60" spans="2:15" x14ac:dyDescent="0.2">
      <c r="N60" s="2"/>
      <c r="O60" s="2"/>
    </row>
    <row r="61" spans="2:15" s="2" customFormat="1" x14ac:dyDescent="0.2">
      <c r="B61" s="2" t="s">
        <v>42</v>
      </c>
      <c r="G61" s="7">
        <v>-381</v>
      </c>
      <c r="I61" s="2">
        <v>-622</v>
      </c>
      <c r="J61" s="2">
        <v>-441</v>
      </c>
      <c r="K61" s="2">
        <v>-422</v>
      </c>
      <c r="L61" s="2">
        <v>-668</v>
      </c>
      <c r="M61" s="2">
        <v>-787</v>
      </c>
      <c r="N61" s="2">
        <v>-1106</v>
      </c>
      <c r="O61" s="2">
        <v>-1190</v>
      </c>
    </row>
    <row r="62" spans="2:15" x14ac:dyDescent="0.2">
      <c r="B62" s="2" t="s">
        <v>43</v>
      </c>
      <c r="G62">
        <v>-28</v>
      </c>
    </row>
    <row r="63" spans="2:15" x14ac:dyDescent="0.2">
      <c r="B63" s="2" t="s">
        <v>44</v>
      </c>
      <c r="G63">
        <f>1223-1711</f>
        <v>-488</v>
      </c>
    </row>
    <row r="64" spans="2:15" x14ac:dyDescent="0.2">
      <c r="B64" t="s">
        <v>41</v>
      </c>
      <c r="G64">
        <f>SUM(G61:G63)</f>
        <v>-897</v>
      </c>
    </row>
    <row r="66" spans="2:15" s="2" customFormat="1" x14ac:dyDescent="0.2">
      <c r="B66" s="2" t="s">
        <v>45</v>
      </c>
      <c r="G66" s="2">
        <v>-1318</v>
      </c>
    </row>
    <row r="67" spans="2:15" s="2" customFormat="1" x14ac:dyDescent="0.2">
      <c r="B67" s="2" t="s">
        <v>47</v>
      </c>
      <c r="G67" s="2">
        <v>-142</v>
      </c>
    </row>
    <row r="68" spans="2:15" s="2" customFormat="1" x14ac:dyDescent="0.2">
      <c r="B68" s="2" t="s">
        <v>48</v>
      </c>
      <c r="G68" s="2">
        <v>-326</v>
      </c>
    </row>
    <row r="69" spans="2:15" s="2" customFormat="1" x14ac:dyDescent="0.2">
      <c r="B69" s="2" t="s">
        <v>46</v>
      </c>
      <c r="G69" s="2">
        <f>SUM(G66:G68)</f>
        <v>-1786</v>
      </c>
    </row>
    <row r="71" spans="2:15" x14ac:dyDescent="0.2">
      <c r="B71" s="2" t="s">
        <v>63</v>
      </c>
      <c r="I71" s="2">
        <f t="shared" ref="I71" si="23">+I59+I61</f>
        <v>3165</v>
      </c>
      <c r="J71" s="2">
        <f t="shared" ref="J71:O71" si="24">+J59+J61</f>
        <v>2806</v>
      </c>
      <c r="K71" s="2">
        <f t="shared" si="24"/>
        <v>3382</v>
      </c>
      <c r="L71" s="2">
        <f t="shared" si="24"/>
        <v>4774</v>
      </c>
      <c r="M71" s="2">
        <f t="shared" si="24"/>
        <v>4612</v>
      </c>
      <c r="N71" s="2">
        <f t="shared" si="24"/>
        <v>7594</v>
      </c>
      <c r="O71" s="2">
        <f t="shared" si="24"/>
        <v>7487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Nichols Ringholm</dc:creator>
  <cp:lastModifiedBy>Sam Nichols Ringholm</cp:lastModifiedBy>
  <dcterms:created xsi:type="dcterms:W3CDTF">2025-04-15T16:57:53Z</dcterms:created>
  <dcterms:modified xsi:type="dcterms:W3CDTF">2025-10-07T17:56:18Z</dcterms:modified>
</cp:coreProperties>
</file>