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68F41AB6-A147-4903-B7B5-13C3C0860337}" xr6:coauthVersionLast="47" xr6:coauthVersionMax="47" xr10:uidLastSave="{00000000-0000-0000-0000-000000000000}"/>
  <bookViews>
    <workbookView xWindow="4320" yWindow="4320" windowWidth="18075" windowHeight="16020" activeTab="1" xr2:uid="{449F5976-BBB2-4D6E-9B28-E8B6EC62A5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2" l="1"/>
  <c r="AI2" i="2" s="1"/>
  <c r="AJ2" i="2" s="1"/>
  <c r="AK2" i="2" s="1"/>
  <c r="AL2" i="2" s="1"/>
  <c r="AG2" i="2"/>
  <c r="X54" i="2"/>
  <c r="Y54" i="2"/>
  <c r="AB54" i="2"/>
  <c r="AA54" i="2"/>
  <c r="Z54" i="2"/>
  <c r="AC54" i="2"/>
  <c r="AD54" i="2"/>
  <c r="O25" i="2"/>
  <c r="O23" i="2"/>
  <c r="AD20" i="2"/>
  <c r="AD17" i="2"/>
  <c r="AD12" i="2"/>
  <c r="AD11" i="2"/>
  <c r="AD9" i="2"/>
  <c r="AD8" i="2"/>
  <c r="N50" i="2"/>
  <c r="N29" i="2"/>
  <c r="N28" i="2" s="1"/>
  <c r="N36" i="2"/>
  <c r="N15" i="2"/>
  <c r="N13" i="2"/>
  <c r="N10" i="2"/>
  <c r="N25" i="2" s="1"/>
  <c r="M29" i="2"/>
  <c r="M36" i="2"/>
  <c r="M15" i="2"/>
  <c r="M13" i="2"/>
  <c r="M10" i="2"/>
  <c r="M23" i="2"/>
  <c r="W23" i="2"/>
  <c r="X23" i="2"/>
  <c r="W17" i="2"/>
  <c r="W13" i="2"/>
  <c r="W10" i="2"/>
  <c r="W25" i="2" s="1"/>
  <c r="Y23" i="2"/>
  <c r="X17" i="2"/>
  <c r="X13" i="2"/>
  <c r="X10" i="2"/>
  <c r="X25" i="2" s="1"/>
  <c r="F20" i="2"/>
  <c r="F12" i="2"/>
  <c r="F11" i="2"/>
  <c r="F9" i="2"/>
  <c r="F8" i="2"/>
  <c r="F10" i="2" s="1"/>
  <c r="F25" i="2" s="1"/>
  <c r="L23" i="2"/>
  <c r="K23" i="2"/>
  <c r="I23" i="2"/>
  <c r="H23" i="2"/>
  <c r="G23" i="2"/>
  <c r="C15" i="2"/>
  <c r="C13" i="2"/>
  <c r="C10" i="2"/>
  <c r="C25" i="2" s="1"/>
  <c r="D15" i="2"/>
  <c r="D13" i="2"/>
  <c r="D10" i="2"/>
  <c r="D25" i="2" s="1"/>
  <c r="E15" i="2"/>
  <c r="E13" i="2"/>
  <c r="E10" i="2"/>
  <c r="E25" i="2" s="1"/>
  <c r="J17" i="2"/>
  <c r="J12" i="2"/>
  <c r="J20" i="2"/>
  <c r="J11" i="2"/>
  <c r="J9" i="2"/>
  <c r="I15" i="2"/>
  <c r="I13" i="2"/>
  <c r="I10" i="2"/>
  <c r="I25" i="2" s="1"/>
  <c r="AC15" i="2"/>
  <c r="AC13" i="2"/>
  <c r="AC8" i="2"/>
  <c r="AC10" i="2" s="1"/>
  <c r="AC25" i="2" s="1"/>
  <c r="K15" i="2"/>
  <c r="K13" i="2"/>
  <c r="K10" i="2"/>
  <c r="K25" i="2" s="1"/>
  <c r="H15" i="2"/>
  <c r="L15" i="2"/>
  <c r="L13" i="2"/>
  <c r="L10" i="2"/>
  <c r="L25" i="2" s="1"/>
  <c r="H13" i="2"/>
  <c r="H10" i="2"/>
  <c r="H25" i="2" s="1"/>
  <c r="G15" i="2"/>
  <c r="G10" i="2"/>
  <c r="G25" i="2" s="1"/>
  <c r="G13" i="2"/>
  <c r="AB23" i="2"/>
  <c r="AB15" i="2"/>
  <c r="AB13" i="2"/>
  <c r="AB10" i="2"/>
  <c r="Z23" i="2"/>
  <c r="AA23" i="2"/>
  <c r="Z15" i="2"/>
  <c r="Y15" i="2"/>
  <c r="Y13" i="2"/>
  <c r="Y10" i="2"/>
  <c r="Y25" i="2" s="1"/>
  <c r="Z13" i="2"/>
  <c r="Z10" i="2"/>
  <c r="Z25" i="2" s="1"/>
  <c r="AA15" i="2"/>
  <c r="AA13" i="2"/>
  <c r="AA10" i="2"/>
  <c r="AA25" i="2" s="1"/>
  <c r="O4" i="1"/>
  <c r="O7" i="1" s="1"/>
  <c r="X2" i="2"/>
  <c r="Y2" i="2" s="1"/>
  <c r="Z2" i="2" s="1"/>
  <c r="AA2" i="2" s="1"/>
  <c r="AB2" i="2" s="1"/>
  <c r="AC2" i="2" s="1"/>
  <c r="AD2" i="2" s="1"/>
  <c r="AE2" i="2" s="1"/>
  <c r="AF2" i="2" s="1"/>
  <c r="AD15" i="2" l="1"/>
  <c r="N39" i="2"/>
  <c r="AD10" i="2"/>
  <c r="AD25" i="2" s="1"/>
  <c r="AD13" i="2"/>
  <c r="F13" i="2"/>
  <c r="F14" i="2" s="1"/>
  <c r="F16" i="2" s="1"/>
  <c r="F18" i="2" s="1"/>
  <c r="F19" i="2" s="1"/>
  <c r="M39" i="2"/>
  <c r="J13" i="2"/>
  <c r="AD23" i="2"/>
  <c r="M28" i="2"/>
  <c r="M14" i="2"/>
  <c r="AD14" i="2"/>
  <c r="AD16" i="2" s="1"/>
  <c r="AD18" i="2" s="1"/>
  <c r="AD19" i="2" s="1"/>
  <c r="N14" i="2"/>
  <c r="N16" i="2" s="1"/>
  <c r="N18" i="2" s="1"/>
  <c r="N19" i="2" s="1"/>
  <c r="AB14" i="2"/>
  <c r="J15" i="2"/>
  <c r="J8" i="2"/>
  <c r="J23" i="2" s="1"/>
  <c r="M16" i="2"/>
  <c r="M18" i="2" s="1"/>
  <c r="M19" i="2" s="1"/>
  <c r="M25" i="2"/>
  <c r="AC23" i="2"/>
  <c r="AC14" i="2"/>
  <c r="AC16" i="2" s="1"/>
  <c r="AC18" i="2" s="1"/>
  <c r="AC19" i="2" s="1"/>
  <c r="AB25" i="2"/>
  <c r="W14" i="2"/>
  <c r="W16" i="2" s="1"/>
  <c r="W18" i="2" s="1"/>
  <c r="W19" i="2" s="1"/>
  <c r="X14" i="2"/>
  <c r="X16" i="2" s="1"/>
  <c r="X18" i="2" s="1"/>
  <c r="X19" i="2" s="1"/>
  <c r="C14" i="2"/>
  <c r="C16" i="2" s="1"/>
  <c r="C18" i="2" s="1"/>
  <c r="C19" i="2" s="1"/>
  <c r="D14" i="2"/>
  <c r="D16" i="2" s="1"/>
  <c r="D18" i="2" s="1"/>
  <c r="D19" i="2" s="1"/>
  <c r="E14" i="2"/>
  <c r="E16" i="2" s="1"/>
  <c r="E18" i="2" s="1"/>
  <c r="E19" i="2" s="1"/>
  <c r="I14" i="2"/>
  <c r="I16" i="2" s="1"/>
  <c r="I18" i="2" s="1"/>
  <c r="I19" i="2" s="1"/>
  <c r="K14" i="2"/>
  <c r="K16" i="2" s="1"/>
  <c r="K18" i="2" s="1"/>
  <c r="K19" i="2" s="1"/>
  <c r="L14" i="2"/>
  <c r="L16" i="2" s="1"/>
  <c r="L18" i="2" s="1"/>
  <c r="L19" i="2" s="1"/>
  <c r="H14" i="2"/>
  <c r="H16" i="2" s="1"/>
  <c r="H18" i="2" s="1"/>
  <c r="H19" i="2" s="1"/>
  <c r="AA14" i="2"/>
  <c r="AA16" i="2" s="1"/>
  <c r="AA18" i="2" s="1"/>
  <c r="AA19" i="2" s="1"/>
  <c r="AB16" i="2"/>
  <c r="AB18" i="2" s="1"/>
  <c r="AB19" i="2" s="1"/>
  <c r="G14" i="2"/>
  <c r="G16" i="2" s="1"/>
  <c r="G18" i="2" s="1"/>
  <c r="G19" i="2" s="1"/>
  <c r="Y14" i="2"/>
  <c r="Y16" i="2" s="1"/>
  <c r="Y18" i="2" s="1"/>
  <c r="Y19" i="2" s="1"/>
  <c r="Z14" i="2"/>
  <c r="Z16" i="2" s="1"/>
  <c r="Z18" i="2" s="1"/>
  <c r="Z19" i="2" s="1"/>
  <c r="J10" i="2" l="1"/>
  <c r="N23" i="2"/>
  <c r="J25" i="2" l="1"/>
  <c r="J14" i="2"/>
  <c r="J16" i="2" s="1"/>
  <c r="J18" i="2" s="1"/>
  <c r="J19" i="2" s="1"/>
</calcChain>
</file>

<file path=xl/sharedStrings.xml><?xml version="1.0" encoding="utf-8"?>
<sst xmlns="http://schemas.openxmlformats.org/spreadsheetml/2006/main" count="94" uniqueCount="87">
  <si>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</si>
  <si>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</si>
  <si>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</si>
  <si>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</si>
  <si>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</si>
  <si>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</si>
  <si>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</si>
  <si>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</si>
  <si>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</si>
  <si>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</si>
  <si>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</si>
  <si>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</si>
  <si>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</si>
  <si>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</si>
  <si>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</si>
  <si>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</si>
  <si>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EPS</t>
  </si>
  <si>
    <t>COGS</t>
  </si>
  <si>
    <t>Gross Margin</t>
  </si>
  <si>
    <t>R&amp;D</t>
  </si>
  <si>
    <t>MS&amp;A</t>
  </si>
  <si>
    <t>Operating Expenses</t>
  </si>
  <si>
    <t>Operating Income</t>
  </si>
  <si>
    <t>Interest</t>
  </si>
  <si>
    <t>Pretax</t>
  </si>
  <si>
    <t>Taxes</t>
  </si>
  <si>
    <t>Net Income</t>
  </si>
  <si>
    <t>Revenue y/y</t>
  </si>
  <si>
    <t>Data Center</t>
  </si>
  <si>
    <t>Client</t>
  </si>
  <si>
    <t>Gaming</t>
  </si>
  <si>
    <t>Embedded</t>
  </si>
  <si>
    <t>Q124</t>
  </si>
  <si>
    <t>Q224</t>
  </si>
  <si>
    <t>Q324</t>
  </si>
  <si>
    <t>Q424</t>
  </si>
  <si>
    <t>Goodwill</t>
  </si>
  <si>
    <t>DTA</t>
  </si>
  <si>
    <t>AR</t>
  </si>
  <si>
    <t>Inventories</t>
  </si>
  <si>
    <t>Related Parties</t>
  </si>
  <si>
    <t>Prepaids</t>
  </si>
  <si>
    <t>PP&amp;E</t>
  </si>
  <si>
    <t>Lease</t>
  </si>
  <si>
    <t>Assets</t>
  </si>
  <si>
    <t>ONCA</t>
  </si>
  <si>
    <t>Q125</t>
  </si>
  <si>
    <t>Q225</t>
  </si>
  <si>
    <t>Q325</t>
  </si>
  <si>
    <t>Q425</t>
  </si>
  <si>
    <t>L+SE</t>
  </si>
  <si>
    <t>SE</t>
  </si>
  <si>
    <t>OLTL</t>
  </si>
  <si>
    <t>DT</t>
  </si>
  <si>
    <t>Leases</t>
  </si>
  <si>
    <t>OCL</t>
  </si>
  <si>
    <t>AL</t>
  </si>
  <si>
    <t>Related</t>
  </si>
  <si>
    <t>AP</t>
  </si>
  <si>
    <t>Net Debt</t>
  </si>
  <si>
    <t>CFFO</t>
  </si>
  <si>
    <t>CX</t>
  </si>
  <si>
    <t>FCF</t>
  </si>
  <si>
    <r>
      <t>EPYC CPU</t>
    </r>
    <r>
      <rPr>
        <sz val="10"/>
        <color theme="1"/>
        <rFont val="Arial"/>
        <family val="2"/>
      </rPr>
      <t xml:space="preserve"> — Flagship server processor line; built on Zen architecture, optimized for cloud and data center workloads.</t>
    </r>
  </si>
  <si>
    <r>
      <t>Instinct GPU</t>
    </r>
    <r>
      <rPr>
        <sz val="10"/>
        <color theme="1"/>
        <rFont val="Arial"/>
        <family val="2"/>
      </rPr>
      <t xml:space="preserve"> — AI and HPC accelerators; compatible with CXL 3.1, PCIe Gen6, and LPDDR5X memory.</t>
    </r>
  </si>
  <si>
    <r>
      <t>Versal FPGA / RF</t>
    </r>
    <r>
      <rPr>
        <sz val="10"/>
        <color theme="1"/>
        <rFont val="Arial"/>
        <family val="2"/>
      </rPr>
      <t xml:space="preserve"> — Adaptive computing platform targeting embedded, automotive, and communication applications.</t>
    </r>
  </si>
  <si>
    <r>
      <t>MI300 / MI300X</t>
    </r>
    <r>
      <rPr>
        <sz val="10"/>
        <color theme="1"/>
        <rFont val="Arial"/>
        <family val="2"/>
      </rPr>
      <t xml:space="preserve"> — Advanced AI and HPC GPUs; central to AMD’s data center AI strategy.</t>
    </r>
  </si>
  <si>
    <r>
      <t>MI300A</t>
    </r>
    <r>
      <rPr>
        <sz val="10"/>
        <color theme="1"/>
        <rFont val="Arial"/>
        <family val="2"/>
      </rPr>
      <t xml:space="preserve"> — Hybrid APU combining CPU + GPU on a single package using CoWoS integration for improved efficiency.</t>
    </r>
  </si>
  <si>
    <r>
      <t>MI450 (next-gen)</t>
    </r>
    <r>
      <rPr>
        <sz val="10"/>
        <color theme="1"/>
        <rFont val="Arial"/>
        <family val="2"/>
      </rPr>
      <t xml:space="preserve"> — Rumored successor to MI300 series; expected 2025 launch with enhanced AI throughput.</t>
    </r>
  </si>
  <si>
    <r>
      <t>ROCm</t>
    </r>
    <r>
      <rPr>
        <sz val="10"/>
        <color theme="1"/>
        <rFont val="Arial"/>
        <family val="2"/>
      </rPr>
      <t xml:space="preserve"> — Open-source AI software stack competing with NVIDIA’s CUDA ecosystem.</t>
    </r>
  </si>
  <si>
    <r>
      <t>Ryzen CPU family</t>
    </r>
    <r>
      <rPr>
        <sz val="10"/>
        <color theme="1"/>
        <rFont val="Arial"/>
        <family val="2"/>
      </rPr>
      <t xml:space="preserve"> — Desktop and mobile lineup based on Zen 5; strong focus on performance per watt.</t>
    </r>
  </si>
  <si>
    <r>
      <t>Ryzen 9000X3D</t>
    </r>
    <r>
      <rPr>
        <sz val="10"/>
        <color theme="1"/>
        <rFont val="Arial"/>
        <family val="2"/>
      </rPr>
      <t xml:space="preserve"> — Enthusiast-level desktop CPU leveraging 3D V-Cache for gaming performance.</t>
    </r>
  </si>
  <si>
    <r>
      <t>Ryzen 9000HX / Z2</t>
    </r>
    <r>
      <rPr>
        <sz val="10"/>
        <color theme="1"/>
        <rFont val="Arial"/>
        <family val="2"/>
      </rPr>
      <t xml:space="preserve"> — Mobile and handheld gaming platforms integrating RDNA graphics.</t>
    </r>
  </si>
  <si>
    <r>
      <t>Ryzen AI PRO / Max PRO</t>
    </r>
    <r>
      <rPr>
        <sz val="10"/>
        <color theme="1"/>
        <rFont val="Arial"/>
        <family val="2"/>
      </rPr>
      <t xml:space="preserve"> — AI-enhanced processors designed for enterprise PCs, featuring integrated NPU for local inference.</t>
    </r>
  </si>
  <si>
    <r>
      <t>Ryzen AI 300 / 300 PRO</t>
    </r>
    <r>
      <rPr>
        <sz val="10"/>
        <color theme="1"/>
        <rFont val="Arial"/>
        <family val="2"/>
      </rPr>
      <t xml:space="preserve"> — New AI-focused PC generation (“Strix Point”), optimized for power efficiency and neural acceleration.</t>
    </r>
  </si>
  <si>
    <r>
      <t>Ryzen 200 / 200 PRO</t>
    </r>
    <r>
      <rPr>
        <sz val="10"/>
        <color theme="1"/>
        <rFont val="Arial"/>
        <family val="2"/>
      </rPr>
      <t xml:space="preserve"> — Prior generation mainstream notebook CPUs.</t>
    </r>
  </si>
  <si>
    <r>
      <t>Radeon GPU</t>
    </r>
    <r>
      <rPr>
        <sz val="10"/>
        <color theme="1"/>
        <rFont val="Arial"/>
        <family val="2"/>
      </rPr>
      <t xml:space="preserve"> — Graphics lineup for gaming, workstation, and AI workloads; RDNA 3 architecture.</t>
    </r>
  </si>
  <si>
    <t>Data Center &amp; AI Products</t>
  </si>
  <si>
    <t>Client &amp; Consumer CPUs</t>
  </si>
  <si>
    <t>Graphics Division</t>
  </si>
  <si>
    <t>Partnerships &amp; Strategic Initiatives</t>
  </si>
  <si>
    <t>Dell — AI PC integration.</t>
  </si>
  <si>
    <t>LiquidAI — Collaboration on AI optimization.</t>
  </si>
  <si>
    <t>Vultr — AI model deployment in the cloud.</t>
  </si>
  <si>
    <t>Absci — AI-powered protein design partnership.</t>
  </si>
  <si>
    <t>CEO: Lisa Su</t>
  </si>
  <si>
    <t xml:space="preserve">founded: 1969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</si>
</sst>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0" fontId="2" fillId="0" borderId="0" xfId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DD6D8F-4ABD-4AAD-9484-668CC22754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42416</xdr:colOff>
      <xdr:row>0</xdr:row>
      <xdr:rowOff>0</xdr:rowOff>
    </xdr:from>
    <xdr:to>
      <xdr:col>30</xdr:col>
      <xdr:colOff>42416</xdr:colOff>
      <xdr:row>64</xdr:row>
      <xdr:rowOff>59121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725BA9-4D49-D0CA-4A29-7A2421674B5B}"/>
            </a:ext>
          </a:extLst>
        </xdr:cNvPr>
        <xdr:cNvCxnSpPr/>
      </xdr:nvCxnSpPr>
      <xdr:spPr>
        <a:xfrm>
          <a:off x="26022675" y="0"/>
          <a:ext cx="0" cy="10569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59755</xdr:colOff>
      <xdr:row>0</xdr:row>
      <xdr:rowOff>0</xdr:rowOff>
    </xdr:from>
    <xdr:to>
      <xdr:col>14</xdr:col>
      <xdr:colOff>59755</xdr:colOff>
      <xdr:row>71</xdr:row>
      <xdr:rowOff>110751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399797-0FC5-95B2-CB27-D05401A4D136}"/>
            </a:ext>
          </a:extLst>
        </xdr:cNvPr>
        <xdr:cNvCxnSpPr/>
      </xdr:nvCxnSpPr>
      <xdr:spPr>
        <a:xfrm>
          <a:off x="13821738" y="0"/>
          <a:ext cx="0" cy="11770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D5A4-2898-4A25-B128-984AAEABB5C4}">
  <dimension ref="B2:P26"/>
  <sheetViews>
    <sheetView zoomScale="85" zoomScaleNormal="85" workbookViewId="0">
      <selection activeCell="R20" sqref="R20"/>
    </sheetView>
  </sheetViews>
  <sheetFormatPr defaultRowHeight="12.75" x14ac:dyDescent="0.2"/>
  <sheetData>
    <row r="2" spans="2:16" x14ac:dyDescent="0.2">
      <c r="B2" s="13" t="s">
        <v>77</v>
      </c>
      <c r="N2" t="s">
        <v>0</v>
      </c>
      <c r="O2" s="1">
        <v>96</v>
      </c>
    </row>
    <row r="3" spans="2:16" x14ac:dyDescent="0.2">
      <c r="B3" s="4" t="s">
        <v>63</v>
      </c>
      <c r="N3" t="s">
        <v>1</v>
      </c>
      <c r="O3" s="3">
        <v>1634</v>
      </c>
      <c r="P3" s="2" t="s">
        <v>35</v>
      </c>
    </row>
    <row r="4" spans="2:16" x14ac:dyDescent="0.2">
      <c r="B4" s="4" t="s">
        <v>64</v>
      </c>
      <c r="N4" t="s">
        <v>2</v>
      </c>
      <c r="O4" s="3">
        <f>+O2*O3</f>
        <v>156864</v>
      </c>
    </row>
    <row r="5" spans="2:16" x14ac:dyDescent="0.2">
      <c r="B5" s="4" t="s">
        <v>65</v>
      </c>
      <c r="N5" t="s">
        <v>3</v>
      </c>
      <c r="O5" s="3">
        <v>5281</v>
      </c>
      <c r="P5" s="2" t="s">
        <v>35</v>
      </c>
    </row>
    <row r="6" spans="2:16" x14ac:dyDescent="0.2">
      <c r="B6" s="4" t="s">
        <v>66</v>
      </c>
      <c r="N6" t="s">
        <v>4</v>
      </c>
      <c r="O6" s="3">
        <v>1721</v>
      </c>
      <c r="P6" s="2" t="s">
        <v>35</v>
      </c>
    </row>
    <row r="7" spans="2:16" x14ac:dyDescent="0.2">
      <c r="B7" s="4" t="s">
        <v>67</v>
      </c>
      <c r="C7" s="4"/>
      <c r="N7" t="s">
        <v>5</v>
      </c>
      <c r="O7" s="3">
        <f>+O4-O5+O6</f>
        <v>153304</v>
      </c>
    </row>
    <row r="8" spans="2:16" x14ac:dyDescent="0.2">
      <c r="B8" s="4" t="s">
        <v>68</v>
      </c>
      <c r="M8" s="3"/>
    </row>
    <row r="9" spans="2:16" x14ac:dyDescent="0.2">
      <c r="B9" s="4" t="s">
        <v>69</v>
      </c>
      <c r="N9" t="s">
        <v>86</v>
      </c>
    </row>
    <row r="10" spans="2:16" x14ac:dyDescent="0.2">
      <c r="N10" t="s">
        <v>85</v>
      </c>
    </row>
    <row r="11" spans="2:16" x14ac:dyDescent="0.2">
      <c r="B11" s="13" t="s">
        <v>78</v>
      </c>
    </row>
    <row r="12" spans="2:16" x14ac:dyDescent="0.2">
      <c r="B12" s="4" t="s">
        <v>70</v>
      </c>
    </row>
    <row r="13" spans="2:16" x14ac:dyDescent="0.2">
      <c r="B13" s="4" t="s">
        <v>71</v>
      </c>
    </row>
    <row r="14" spans="2:16" x14ac:dyDescent="0.2">
      <c r="B14" s="4" t="s">
        <v>72</v>
      </c>
    </row>
    <row r="15" spans="2:16" x14ac:dyDescent="0.2">
      <c r="B15" s="4" t="s">
        <v>73</v>
      </c>
    </row>
    <row r="16" spans="2:16" x14ac:dyDescent="0.2">
      <c r="B16" s="4" t="s">
        <v>74</v>
      </c>
    </row>
    <row r="17" spans="2:2" x14ac:dyDescent="0.2">
      <c r="B17" s="4" t="s">
        <v>75</v>
      </c>
    </row>
    <row r="19" spans="2:2" x14ac:dyDescent="0.2">
      <c r="B19" s="13" t="s">
        <v>79</v>
      </c>
    </row>
    <row r="20" spans="2:2" x14ac:dyDescent="0.2">
      <c r="B20" s="4" t="s">
        <v>76</v>
      </c>
    </row>
    <row r="22" spans="2:2" x14ac:dyDescent="0.2">
      <c r="B22" s="13" t="s">
        <v>80</v>
      </c>
    </row>
    <row r="23" spans="2:2" x14ac:dyDescent="0.2">
      <c r="B23" t="s">
        <v>81</v>
      </c>
    </row>
    <row r="24" spans="2:2" x14ac:dyDescent="0.2">
      <c r="B24" t="s">
        <v>82</v>
      </c>
    </row>
    <row r="25" spans="2:2" x14ac:dyDescent="0.2">
      <c r="B25" t="s">
        <v>83</v>
      </c>
    </row>
    <row r="26" spans="2:2" x14ac:dyDescent="0.2">
      <c r="B2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65FD-8E44-4C73-A775-FD93E4059E5E}">
  <dimension ref="A1:AL5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K11" sqref="AK11"/>
    </sheetView>
  </sheetViews>
  <sheetFormatPr defaultRowHeight="12.75" x14ac:dyDescent="0.2"/>
  <cols>
    <col min="1" max="1" width="5" bestFit="1" customWidth="1"/>
    <col min="2" max="2" width="18.140625" bestFit="1" customWidth="1"/>
    <col min="3" max="20" width="9.140625" style="2"/>
  </cols>
  <sheetData>
    <row r="1" spans="1:38" x14ac:dyDescent="0.2">
      <c r="A1" s="8" t="s">
        <v>6</v>
      </c>
    </row>
    <row r="2" spans="1:38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46</v>
      </c>
      <c r="P2" s="2" t="s">
        <v>47</v>
      </c>
      <c r="Q2" s="2" t="s">
        <v>48</v>
      </c>
      <c r="R2" s="2" t="s">
        <v>49</v>
      </c>
      <c r="W2">
        <v>2017</v>
      </c>
      <c r="X2">
        <f t="shared" ref="X2:AL2" si="0">+W2+1</f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>AF2+1</f>
        <v>2027</v>
      </c>
      <c r="AH2">
        <f t="shared" ref="AH2:AL2" si="1">AG2+1</f>
        <v>2028</v>
      </c>
      <c r="AI2">
        <f t="shared" si="1"/>
        <v>2029</v>
      </c>
      <c r="AJ2">
        <f t="shared" si="1"/>
        <v>2030</v>
      </c>
      <c r="AK2">
        <f t="shared" si="1"/>
        <v>2031</v>
      </c>
      <c r="AL2">
        <f t="shared" si="1"/>
        <v>2032</v>
      </c>
    </row>
    <row r="3" spans="1:38" x14ac:dyDescent="0.2">
      <c r="B3" t="s">
        <v>28</v>
      </c>
      <c r="C3" s="10">
        <v>1293</v>
      </c>
      <c r="D3" s="10"/>
      <c r="E3" s="10"/>
      <c r="F3" s="10"/>
      <c r="G3" s="10">
        <v>1295</v>
      </c>
      <c r="H3" s="10">
        <v>1321</v>
      </c>
      <c r="I3" s="10"/>
      <c r="J3" s="10"/>
      <c r="K3" s="10"/>
      <c r="L3" s="10">
        <v>2834</v>
      </c>
      <c r="M3" s="10"/>
      <c r="N3" s="10">
        <v>3900</v>
      </c>
      <c r="AB3" s="3">
        <v>6043</v>
      </c>
      <c r="AC3" s="3">
        <v>6496</v>
      </c>
      <c r="AD3" s="3">
        <v>12600</v>
      </c>
    </row>
    <row r="4" spans="1:38" x14ac:dyDescent="0.2">
      <c r="B4" t="s">
        <v>29</v>
      </c>
      <c r="C4" s="10">
        <v>2124</v>
      </c>
      <c r="G4" s="2">
        <v>739</v>
      </c>
      <c r="H4" s="10">
        <v>998</v>
      </c>
      <c r="I4" s="10"/>
      <c r="J4" s="10"/>
      <c r="K4" s="10"/>
      <c r="L4" s="10">
        <v>1492</v>
      </c>
      <c r="M4" s="10"/>
      <c r="N4" s="10">
        <v>2300</v>
      </c>
      <c r="AB4" s="3">
        <v>6201</v>
      </c>
      <c r="AC4" s="3">
        <v>4651</v>
      </c>
      <c r="AD4" s="3">
        <v>7100</v>
      </c>
    </row>
    <row r="5" spans="1:38" x14ac:dyDescent="0.2">
      <c r="B5" t="s">
        <v>30</v>
      </c>
      <c r="C5" s="10">
        <v>1875</v>
      </c>
      <c r="D5" s="10"/>
      <c r="E5" s="10"/>
      <c r="F5" s="10"/>
      <c r="G5" s="10">
        <v>1757</v>
      </c>
      <c r="H5" s="10">
        <v>1581</v>
      </c>
      <c r="I5" s="10"/>
      <c r="J5" s="10"/>
      <c r="K5" s="10"/>
      <c r="L5" s="10">
        <v>648</v>
      </c>
      <c r="N5" s="2">
        <v>563</v>
      </c>
      <c r="AB5" s="3">
        <v>6805</v>
      </c>
      <c r="AC5" s="3">
        <v>6212</v>
      </c>
      <c r="AD5" s="3">
        <v>2600</v>
      </c>
    </row>
    <row r="6" spans="1:38" x14ac:dyDescent="0.2">
      <c r="B6" t="s">
        <v>31</v>
      </c>
      <c r="C6" s="10">
        <v>595</v>
      </c>
      <c r="D6" s="10"/>
      <c r="E6" s="10"/>
      <c r="F6" s="10"/>
      <c r="G6" s="10">
        <v>1562</v>
      </c>
      <c r="H6" s="10">
        <v>1459</v>
      </c>
      <c r="I6" s="10"/>
      <c r="J6" s="10"/>
      <c r="K6" s="10"/>
      <c r="L6" s="10">
        <v>861</v>
      </c>
      <c r="N6" s="2">
        <v>923</v>
      </c>
      <c r="AB6" s="3">
        <v>4552</v>
      </c>
      <c r="AC6" s="3">
        <v>5321</v>
      </c>
      <c r="AD6" s="3">
        <v>3600</v>
      </c>
    </row>
    <row r="7" spans="1:38" x14ac:dyDescent="0.2">
      <c r="AB7" s="3"/>
      <c r="AC7" s="3"/>
    </row>
    <row r="8" spans="1:38" s="4" customFormat="1" x14ac:dyDescent="0.2">
      <c r="B8" s="4" t="s">
        <v>7</v>
      </c>
      <c r="C8" s="9">
        <v>5887</v>
      </c>
      <c r="D8" s="9">
        <v>6550</v>
      </c>
      <c r="E8" s="9">
        <v>5565</v>
      </c>
      <c r="F8" s="9">
        <f>+AB8-E8-D8-C8</f>
        <v>5599</v>
      </c>
      <c r="G8" s="9">
        <v>5353</v>
      </c>
      <c r="H8" s="9">
        <v>5359</v>
      </c>
      <c r="I8" s="9">
        <v>5800</v>
      </c>
      <c r="J8" s="9">
        <f>+AC8-I8-H8-G8</f>
        <v>6168</v>
      </c>
      <c r="K8" s="9">
        <v>5473</v>
      </c>
      <c r="L8" s="9">
        <v>5835</v>
      </c>
      <c r="M8" s="9">
        <v>6819</v>
      </c>
      <c r="N8" s="9">
        <v>7658</v>
      </c>
      <c r="O8" s="9">
        <v>7100</v>
      </c>
      <c r="P8" s="5"/>
      <c r="Q8" s="5"/>
      <c r="R8" s="5"/>
      <c r="S8" s="5"/>
      <c r="T8" s="5"/>
      <c r="W8" s="6">
        <v>5329</v>
      </c>
      <c r="X8" s="6">
        <v>6475</v>
      </c>
      <c r="Y8" s="6">
        <v>6731</v>
      </c>
      <c r="Z8" s="6">
        <v>9763</v>
      </c>
      <c r="AA8" s="6">
        <v>16434</v>
      </c>
      <c r="AB8" s="6">
        <v>23601</v>
      </c>
      <c r="AC8" s="6">
        <f>SUM(AC3:AC6)</f>
        <v>22680</v>
      </c>
      <c r="AD8" s="6">
        <f>SUM(K8:N8)</f>
        <v>25785</v>
      </c>
    </row>
    <row r="9" spans="1:38" x14ac:dyDescent="0.2">
      <c r="B9" t="s">
        <v>17</v>
      </c>
      <c r="C9" s="10">
        <v>2883</v>
      </c>
      <c r="D9" s="10">
        <v>3115</v>
      </c>
      <c r="E9" s="10">
        <v>2799</v>
      </c>
      <c r="F9" s="10">
        <f>+AB9-E9-D9-C9</f>
        <v>2753</v>
      </c>
      <c r="G9" s="10">
        <v>2689</v>
      </c>
      <c r="H9" s="10">
        <v>2704</v>
      </c>
      <c r="I9" s="10">
        <v>2843</v>
      </c>
      <c r="J9" s="10">
        <f>+AC9-I9-H9-G9</f>
        <v>3042</v>
      </c>
      <c r="K9" s="10">
        <v>2683</v>
      </c>
      <c r="L9" s="10">
        <v>2740</v>
      </c>
      <c r="M9" s="10">
        <v>3167</v>
      </c>
      <c r="N9" s="10">
        <v>3524</v>
      </c>
      <c r="W9" s="3">
        <v>3466</v>
      </c>
      <c r="X9" s="3">
        <v>4028</v>
      </c>
      <c r="Y9" s="3">
        <v>3863</v>
      </c>
      <c r="Z9" s="3">
        <v>5416</v>
      </c>
      <c r="AA9" s="3">
        <v>8505</v>
      </c>
      <c r="AB9" s="3">
        <v>11550</v>
      </c>
      <c r="AC9" s="3">
        <v>11278</v>
      </c>
      <c r="AD9" s="3">
        <f>SUM(K9:N9)</f>
        <v>12114</v>
      </c>
    </row>
    <row r="10" spans="1:38" x14ac:dyDescent="0.2">
      <c r="B10" t="s">
        <v>18</v>
      </c>
      <c r="C10" s="10">
        <f>C8-C9</f>
        <v>3004</v>
      </c>
      <c r="D10" s="10">
        <f>D8-D9</f>
        <v>3435</v>
      </c>
      <c r="E10" s="10">
        <f>E8-E9</f>
        <v>2766</v>
      </c>
      <c r="F10" s="10">
        <f>+F8-F9</f>
        <v>2846</v>
      </c>
      <c r="G10" s="10">
        <f t="shared" ref="G10:L10" si="2">G8-G9</f>
        <v>2664</v>
      </c>
      <c r="H10" s="10">
        <f t="shared" si="2"/>
        <v>2655</v>
      </c>
      <c r="I10" s="10">
        <f t="shared" si="2"/>
        <v>2957</v>
      </c>
      <c r="J10" s="10">
        <f t="shared" si="2"/>
        <v>3126</v>
      </c>
      <c r="K10" s="10">
        <f t="shared" si="2"/>
        <v>2790</v>
      </c>
      <c r="L10" s="10">
        <f t="shared" si="2"/>
        <v>3095</v>
      </c>
      <c r="M10" s="10">
        <f>+M8-M9</f>
        <v>3652</v>
      </c>
      <c r="N10" s="10">
        <f>+N8-N9</f>
        <v>4134</v>
      </c>
      <c r="W10" s="3">
        <f t="shared" ref="W10:AC10" si="3">+W8-W9</f>
        <v>1863</v>
      </c>
      <c r="X10" s="3">
        <f t="shared" si="3"/>
        <v>2447</v>
      </c>
      <c r="Y10" s="3">
        <f t="shared" si="3"/>
        <v>2868</v>
      </c>
      <c r="Z10" s="3">
        <f t="shared" si="3"/>
        <v>4347</v>
      </c>
      <c r="AA10" s="3">
        <f t="shared" si="3"/>
        <v>7929</v>
      </c>
      <c r="AB10" s="3">
        <f t="shared" si="3"/>
        <v>12051</v>
      </c>
      <c r="AC10" s="3">
        <f t="shared" si="3"/>
        <v>11402</v>
      </c>
      <c r="AD10" s="3">
        <f>+AD8-AD9</f>
        <v>13671</v>
      </c>
    </row>
    <row r="11" spans="1:38" x14ac:dyDescent="0.2">
      <c r="B11" t="s">
        <v>19</v>
      </c>
      <c r="C11" s="10">
        <v>1060</v>
      </c>
      <c r="D11" s="10">
        <v>1300</v>
      </c>
      <c r="E11" s="10">
        <v>1279</v>
      </c>
      <c r="F11" s="10">
        <f>+AB11-E11-D11-C11</f>
        <v>1366</v>
      </c>
      <c r="G11" s="10">
        <v>1411</v>
      </c>
      <c r="H11" s="10">
        <v>1443</v>
      </c>
      <c r="I11" s="10">
        <v>1507</v>
      </c>
      <c r="J11" s="10">
        <f>+AC11-I11-H11-G11</f>
        <v>1511</v>
      </c>
      <c r="K11" s="10">
        <v>1525</v>
      </c>
      <c r="L11" s="10">
        <v>1583</v>
      </c>
      <c r="M11" s="10">
        <v>1636</v>
      </c>
      <c r="N11" s="10">
        <v>1712</v>
      </c>
      <c r="W11" s="3">
        <v>1196</v>
      </c>
      <c r="X11" s="3">
        <v>1434</v>
      </c>
      <c r="Y11" s="3">
        <v>1547</v>
      </c>
      <c r="Z11" s="3">
        <v>1983</v>
      </c>
      <c r="AA11" s="3">
        <v>2845</v>
      </c>
      <c r="AB11" s="3">
        <v>5005</v>
      </c>
      <c r="AC11" s="3">
        <v>5872</v>
      </c>
      <c r="AD11" s="3">
        <f>SUM(K11:N11)</f>
        <v>6456</v>
      </c>
    </row>
    <row r="12" spans="1:38" x14ac:dyDescent="0.2">
      <c r="B12" t="s">
        <v>20</v>
      </c>
      <c r="C12" s="10">
        <v>597</v>
      </c>
      <c r="D12" s="10">
        <v>592</v>
      </c>
      <c r="E12" s="10">
        <v>557</v>
      </c>
      <c r="F12" s="10">
        <f>+AB12-E12-D12-C12</f>
        <v>590</v>
      </c>
      <c r="G12" s="10">
        <v>585</v>
      </c>
      <c r="H12" s="10">
        <v>547</v>
      </c>
      <c r="I12" s="10">
        <v>576</v>
      </c>
      <c r="J12" s="10">
        <f>+AC12-I12-H12-G12</f>
        <v>644</v>
      </c>
      <c r="K12" s="10">
        <v>620</v>
      </c>
      <c r="L12" s="10">
        <v>650</v>
      </c>
      <c r="M12" s="10">
        <v>721</v>
      </c>
      <c r="N12" s="10">
        <v>792</v>
      </c>
      <c r="W12" s="3">
        <v>516</v>
      </c>
      <c r="X12" s="3">
        <v>562</v>
      </c>
      <c r="Y12" s="3">
        <v>750</v>
      </c>
      <c r="Z12" s="3">
        <v>995</v>
      </c>
      <c r="AA12" s="3">
        <v>1448</v>
      </c>
      <c r="AB12" s="3">
        <v>2336</v>
      </c>
      <c r="AC12" s="3">
        <v>2352</v>
      </c>
      <c r="AD12" s="3">
        <f>SUM(K12:N12)</f>
        <v>2783</v>
      </c>
    </row>
    <row r="13" spans="1:38" x14ac:dyDescent="0.2">
      <c r="B13" t="s">
        <v>21</v>
      </c>
      <c r="C13" s="10">
        <f>C11+C12</f>
        <v>1657</v>
      </c>
      <c r="D13" s="10">
        <f>D11+D12</f>
        <v>1892</v>
      </c>
      <c r="E13" s="10">
        <f>E11+E12</f>
        <v>1836</v>
      </c>
      <c r="F13" s="10">
        <f t="shared" ref="F13" si="4">F11+F12</f>
        <v>1956</v>
      </c>
      <c r="G13" s="10">
        <f t="shared" ref="G13:M13" si="5">G11+G12</f>
        <v>1996</v>
      </c>
      <c r="H13" s="10">
        <f t="shared" si="5"/>
        <v>1990</v>
      </c>
      <c r="I13" s="10">
        <f t="shared" si="5"/>
        <v>2083</v>
      </c>
      <c r="J13" s="10">
        <f t="shared" si="5"/>
        <v>2155</v>
      </c>
      <c r="K13" s="10">
        <f t="shared" si="5"/>
        <v>2145</v>
      </c>
      <c r="L13" s="10">
        <f t="shared" si="5"/>
        <v>2233</v>
      </c>
      <c r="M13" s="10">
        <f t="shared" si="5"/>
        <v>2357</v>
      </c>
      <c r="N13" s="10">
        <f t="shared" ref="N13" si="6">N11+N12</f>
        <v>2504</v>
      </c>
      <c r="W13" s="3">
        <f>+W11+W12</f>
        <v>1712</v>
      </c>
      <c r="X13" s="3">
        <f>+X11+X12</f>
        <v>1996</v>
      </c>
      <c r="Y13" s="3">
        <f>+Y11+Y12</f>
        <v>2297</v>
      </c>
      <c r="Z13" s="3">
        <f>+Z11+Z12</f>
        <v>2978</v>
      </c>
      <c r="AA13" s="3">
        <f>+AA11+AA12</f>
        <v>4293</v>
      </c>
      <c r="AB13" s="3">
        <f t="shared" ref="AB13:AC13" si="7">+AB11+AB12</f>
        <v>7341</v>
      </c>
      <c r="AC13" s="3">
        <f t="shared" si="7"/>
        <v>8224</v>
      </c>
      <c r="AD13" s="3">
        <f t="shared" ref="AD13" si="8">+AD11+AD12</f>
        <v>9239</v>
      </c>
    </row>
    <row r="14" spans="1:38" x14ac:dyDescent="0.2">
      <c r="B14" t="s">
        <v>22</v>
      </c>
      <c r="C14" s="10">
        <f>C10-C13</f>
        <v>1347</v>
      </c>
      <c r="D14" s="10">
        <f>D10-D13</f>
        <v>1543</v>
      </c>
      <c r="E14" s="10">
        <f>E10-E13</f>
        <v>930</v>
      </c>
      <c r="F14" s="10">
        <f t="shared" ref="F14" si="9">F10-F13</f>
        <v>890</v>
      </c>
      <c r="G14" s="10">
        <f t="shared" ref="G14:M14" si="10">G10-G13</f>
        <v>668</v>
      </c>
      <c r="H14" s="10">
        <f t="shared" si="10"/>
        <v>665</v>
      </c>
      <c r="I14" s="10">
        <f t="shared" si="10"/>
        <v>874</v>
      </c>
      <c r="J14" s="10">
        <f t="shared" si="10"/>
        <v>971</v>
      </c>
      <c r="K14" s="10">
        <f t="shared" si="10"/>
        <v>645</v>
      </c>
      <c r="L14" s="10">
        <f t="shared" si="10"/>
        <v>862</v>
      </c>
      <c r="M14" s="10">
        <f t="shared" si="10"/>
        <v>1295</v>
      </c>
      <c r="N14" s="10">
        <f t="shared" ref="N14" si="11">N10-N13</f>
        <v>1630</v>
      </c>
      <c r="W14" s="3">
        <f>+W10-W13</f>
        <v>151</v>
      </c>
      <c r="X14" s="3">
        <f>+X10-X13</f>
        <v>451</v>
      </c>
      <c r="Y14" s="3">
        <f>+Y10-Y13</f>
        <v>571</v>
      </c>
      <c r="Z14" s="3">
        <f>+Z10-Z13</f>
        <v>1369</v>
      </c>
      <c r="AA14" s="3">
        <f>+AA10-AA13</f>
        <v>3636</v>
      </c>
      <c r="AB14" s="3">
        <f t="shared" ref="AB14:AC14" si="12">+AB10-AB13</f>
        <v>4710</v>
      </c>
      <c r="AC14" s="3">
        <f t="shared" si="12"/>
        <v>3178</v>
      </c>
      <c r="AD14" s="3">
        <f t="shared" ref="AD14" si="13">+AD10-AD13</f>
        <v>4432</v>
      </c>
    </row>
    <row r="15" spans="1:38" x14ac:dyDescent="0.2">
      <c r="B15" t="s">
        <v>23</v>
      </c>
      <c r="C15" s="10">
        <f>-13-42</f>
        <v>-55</v>
      </c>
      <c r="D15" s="10">
        <f>-25-4</f>
        <v>-29</v>
      </c>
      <c r="E15" s="10">
        <f>-25+43</f>
        <v>18</v>
      </c>
      <c r="F15" s="10"/>
      <c r="G15" s="10">
        <f>-25+43</f>
        <v>18</v>
      </c>
      <c r="H15" s="10">
        <f>-28+46</f>
        <v>18</v>
      </c>
      <c r="I15" s="10">
        <f>-26+59</f>
        <v>33</v>
      </c>
      <c r="J15" s="10">
        <f>+AC15-I15-H15-G15</f>
        <v>22</v>
      </c>
      <c r="K15" s="10">
        <f>-25+53</f>
        <v>28</v>
      </c>
      <c r="L15" s="10">
        <f>-25+55</f>
        <v>30</v>
      </c>
      <c r="M15" s="2">
        <f>-23+36</f>
        <v>13</v>
      </c>
      <c r="N15" s="2">
        <f>-19+37</f>
        <v>18</v>
      </c>
      <c r="W15" s="3">
        <v>-121</v>
      </c>
      <c r="X15" s="3">
        <v>-121</v>
      </c>
      <c r="Y15" s="3">
        <f>-94-165</f>
        <v>-259</v>
      </c>
      <c r="Z15" s="3">
        <f>-47-47</f>
        <v>-94</v>
      </c>
      <c r="AA15" s="3">
        <f>-34+55</f>
        <v>21</v>
      </c>
      <c r="AB15" s="3">
        <f>-88+8</f>
        <v>-80</v>
      </c>
      <c r="AC15">
        <f>-106+197</f>
        <v>91</v>
      </c>
      <c r="AD15" s="3">
        <f>SUM(K15:N15)</f>
        <v>89</v>
      </c>
    </row>
    <row r="16" spans="1:38" x14ac:dyDescent="0.2">
      <c r="B16" t="s">
        <v>24</v>
      </c>
      <c r="C16" s="10">
        <f>C14+C15</f>
        <v>1292</v>
      </c>
      <c r="D16" s="10">
        <f>D14+D15</f>
        <v>1514</v>
      </c>
      <c r="E16" s="10">
        <f>E14+E15</f>
        <v>948</v>
      </c>
      <c r="F16" s="10">
        <f t="shared" ref="F16" si="14">F14+F15</f>
        <v>890</v>
      </c>
      <c r="G16" s="10">
        <f t="shared" ref="G16:M16" si="15">G14+G15</f>
        <v>686</v>
      </c>
      <c r="H16" s="10">
        <f t="shared" si="15"/>
        <v>683</v>
      </c>
      <c r="I16" s="10">
        <f t="shared" si="15"/>
        <v>907</v>
      </c>
      <c r="J16" s="10">
        <f t="shared" si="15"/>
        <v>993</v>
      </c>
      <c r="K16" s="10">
        <f t="shared" si="15"/>
        <v>673</v>
      </c>
      <c r="L16" s="10">
        <f t="shared" si="15"/>
        <v>892</v>
      </c>
      <c r="M16" s="10">
        <f t="shared" si="15"/>
        <v>1308</v>
      </c>
      <c r="N16" s="10">
        <f t="shared" ref="N16" si="16">N14+N15</f>
        <v>1648</v>
      </c>
      <c r="W16" s="3">
        <f t="shared" ref="W16:AD16" si="17">+W14+W15</f>
        <v>30</v>
      </c>
      <c r="X16" s="3">
        <f t="shared" si="17"/>
        <v>330</v>
      </c>
      <c r="Y16" s="3">
        <f t="shared" si="17"/>
        <v>312</v>
      </c>
      <c r="Z16" s="3">
        <f t="shared" si="17"/>
        <v>1275</v>
      </c>
      <c r="AA16" s="3">
        <f t="shared" si="17"/>
        <v>3657</v>
      </c>
      <c r="AB16" s="3">
        <f t="shared" si="17"/>
        <v>4630</v>
      </c>
      <c r="AC16" s="3">
        <f t="shared" si="17"/>
        <v>3269</v>
      </c>
      <c r="AD16" s="3">
        <f t="shared" si="17"/>
        <v>4521</v>
      </c>
    </row>
    <row r="17" spans="2:30" x14ac:dyDescent="0.2">
      <c r="B17" t="s">
        <v>25</v>
      </c>
      <c r="C17" s="10">
        <v>113</v>
      </c>
      <c r="D17" s="10">
        <v>54</v>
      </c>
      <c r="E17" s="10">
        <v>13</v>
      </c>
      <c r="F17" s="10"/>
      <c r="G17" s="10">
        <v>13</v>
      </c>
      <c r="H17" s="10">
        <v>-23</v>
      </c>
      <c r="I17" s="10">
        <v>-39</v>
      </c>
      <c r="J17" s="10">
        <f>+AC17-I17-H17-G17</f>
        <v>395</v>
      </c>
      <c r="K17" s="10">
        <v>52</v>
      </c>
      <c r="L17" s="10">
        <v>41</v>
      </c>
      <c r="M17" s="2">
        <v>-27</v>
      </c>
      <c r="N17" s="2">
        <v>419</v>
      </c>
      <c r="W17" s="3">
        <f>9+2</f>
        <v>11</v>
      </c>
      <c r="X17" s="3">
        <f>9+2</f>
        <v>11</v>
      </c>
      <c r="Y17" s="3">
        <v>0</v>
      </c>
      <c r="Z17" s="3">
        <v>0</v>
      </c>
      <c r="AA17" s="3">
        <v>513</v>
      </c>
      <c r="AB17" s="3">
        <v>0</v>
      </c>
      <c r="AC17" s="3">
        <v>346</v>
      </c>
      <c r="AD17" s="3">
        <f>SUM(K17:N17)</f>
        <v>485</v>
      </c>
    </row>
    <row r="18" spans="2:30" x14ac:dyDescent="0.2">
      <c r="B18" t="s">
        <v>26</v>
      </c>
      <c r="C18" s="10">
        <f>C16-C17</f>
        <v>1179</v>
      </c>
      <c r="D18" s="10">
        <f>D16-D17</f>
        <v>1460</v>
      </c>
      <c r="E18" s="10">
        <f>E16-E17</f>
        <v>935</v>
      </c>
      <c r="F18" s="10">
        <f t="shared" ref="F18" si="18">F16-F17</f>
        <v>890</v>
      </c>
      <c r="G18" s="10">
        <f t="shared" ref="G18:M18" si="19">G16-G17</f>
        <v>673</v>
      </c>
      <c r="H18" s="10">
        <f t="shared" si="19"/>
        <v>706</v>
      </c>
      <c r="I18" s="10">
        <f t="shared" si="19"/>
        <v>946</v>
      </c>
      <c r="J18" s="10">
        <f t="shared" si="19"/>
        <v>598</v>
      </c>
      <c r="K18" s="10">
        <f t="shared" si="19"/>
        <v>621</v>
      </c>
      <c r="L18" s="10">
        <f t="shared" si="19"/>
        <v>851</v>
      </c>
      <c r="M18" s="10">
        <f t="shared" si="19"/>
        <v>1335</v>
      </c>
      <c r="N18" s="10">
        <f t="shared" ref="N18" si="20">N16-N17</f>
        <v>1229</v>
      </c>
      <c r="W18" s="3">
        <f t="shared" ref="W18:AD18" si="21">+W16-W17</f>
        <v>19</v>
      </c>
      <c r="X18" s="3">
        <f t="shared" si="21"/>
        <v>319</v>
      </c>
      <c r="Y18" s="3">
        <f t="shared" si="21"/>
        <v>312</v>
      </c>
      <c r="Z18" s="3">
        <f t="shared" si="21"/>
        <v>1275</v>
      </c>
      <c r="AA18" s="3">
        <f t="shared" si="21"/>
        <v>3144</v>
      </c>
      <c r="AB18" s="3">
        <f t="shared" si="21"/>
        <v>4630</v>
      </c>
      <c r="AC18" s="3">
        <f t="shared" si="21"/>
        <v>2923</v>
      </c>
      <c r="AD18" s="3">
        <f t="shared" si="21"/>
        <v>4036</v>
      </c>
    </row>
    <row r="19" spans="2:30" x14ac:dyDescent="0.2">
      <c r="B19" t="s">
        <v>16</v>
      </c>
      <c r="C19" s="11">
        <f t="shared" ref="C19:M19" si="22">C18/C20</f>
        <v>0.83617021276595749</v>
      </c>
      <c r="D19" s="11">
        <f t="shared" si="22"/>
        <v>0.89460784313725494</v>
      </c>
      <c r="E19" s="11">
        <f t="shared" si="22"/>
        <v>0.58038485412787089</v>
      </c>
      <c r="F19" s="11">
        <f t="shared" si="22"/>
        <v>0.56651814131126665</v>
      </c>
      <c r="G19" s="11">
        <f t="shared" si="22"/>
        <v>0.41775294847920547</v>
      </c>
      <c r="H19" s="11">
        <f t="shared" si="22"/>
        <v>0.4339274738783036</v>
      </c>
      <c r="I19" s="11">
        <f t="shared" si="22"/>
        <v>0.58072437077961936</v>
      </c>
      <c r="J19" s="11">
        <f t="shared" si="22"/>
        <v>0.36799999999999999</v>
      </c>
      <c r="K19" s="11">
        <f t="shared" si="22"/>
        <v>0.37888956680902991</v>
      </c>
      <c r="L19" s="11">
        <f t="shared" si="22"/>
        <v>0.51985339034819789</v>
      </c>
      <c r="M19" s="11">
        <f t="shared" si="22"/>
        <v>0.81601466992665039</v>
      </c>
      <c r="N19" s="11">
        <f t="shared" ref="N19" si="23">N18/N20</f>
        <v>0.75214198286413714</v>
      </c>
      <c r="W19" s="1">
        <f t="shared" ref="W19:AD19" si="24">+W18/W20</f>
        <v>1.9957983193277309E-2</v>
      </c>
      <c r="X19" s="1">
        <f t="shared" si="24"/>
        <v>0.29981203007518797</v>
      </c>
      <c r="Y19" s="1">
        <f t="shared" si="24"/>
        <v>0.27857142857142858</v>
      </c>
      <c r="Z19" s="1">
        <f t="shared" si="24"/>
        <v>1.056338028169014</v>
      </c>
      <c r="AA19" s="1">
        <f t="shared" si="24"/>
        <v>2.5581773799837264</v>
      </c>
      <c r="AB19" s="1">
        <f t="shared" si="24"/>
        <v>2.9471674092934435</v>
      </c>
      <c r="AC19" s="1">
        <f t="shared" si="24"/>
        <v>1.7987692307692307</v>
      </c>
      <c r="AD19" s="1">
        <f t="shared" si="24"/>
        <v>2.4662389245340668</v>
      </c>
    </row>
    <row r="20" spans="2:30" x14ac:dyDescent="0.2">
      <c r="B20" t="s">
        <v>1</v>
      </c>
      <c r="C20" s="10">
        <v>1410</v>
      </c>
      <c r="D20" s="10">
        <v>1632</v>
      </c>
      <c r="E20" s="10">
        <v>1611</v>
      </c>
      <c r="F20" s="10">
        <f>+AB20</f>
        <v>1571</v>
      </c>
      <c r="G20" s="10">
        <v>1611</v>
      </c>
      <c r="H20" s="10">
        <v>1627</v>
      </c>
      <c r="I20" s="10">
        <v>1629</v>
      </c>
      <c r="J20" s="10">
        <f>+AC20</f>
        <v>1625</v>
      </c>
      <c r="K20" s="10">
        <v>1639</v>
      </c>
      <c r="L20" s="10">
        <v>1637</v>
      </c>
      <c r="M20" s="10">
        <v>1636</v>
      </c>
      <c r="N20" s="10">
        <v>1634</v>
      </c>
      <c r="W20" s="3">
        <v>952</v>
      </c>
      <c r="X20" s="3">
        <v>1064</v>
      </c>
      <c r="Y20" s="3">
        <v>1120</v>
      </c>
      <c r="Z20" s="3">
        <v>1207</v>
      </c>
      <c r="AA20" s="3">
        <v>1229</v>
      </c>
      <c r="AB20" s="3">
        <v>1571</v>
      </c>
      <c r="AC20" s="3">
        <v>1625</v>
      </c>
      <c r="AD20" s="3">
        <f>AVERAGE(K20:N20)</f>
        <v>1636.5</v>
      </c>
    </row>
    <row r="23" spans="2:30" x14ac:dyDescent="0.2">
      <c r="B23" t="s">
        <v>27</v>
      </c>
      <c r="F23" s="12"/>
      <c r="G23" s="12">
        <f>G8/C8-1</f>
        <v>-9.0708340411075228E-2</v>
      </c>
      <c r="H23" s="12">
        <f t="shared" ref="H23:O23" si="25">H8/D8-1</f>
        <v>-0.18183206106870231</v>
      </c>
      <c r="I23" s="12">
        <f t="shared" si="25"/>
        <v>4.2228212039532753E-2</v>
      </c>
      <c r="J23" s="12">
        <f t="shared" si="25"/>
        <v>0.10162529023039824</v>
      </c>
      <c r="K23" s="12">
        <f t="shared" si="25"/>
        <v>2.2417336073230043E-2</v>
      </c>
      <c r="L23" s="12">
        <f t="shared" si="25"/>
        <v>8.882254151894009E-2</v>
      </c>
      <c r="M23" s="12">
        <f t="shared" si="25"/>
        <v>0.17568965517241386</v>
      </c>
      <c r="N23" s="12">
        <f t="shared" si="25"/>
        <v>0.24156939040207526</v>
      </c>
      <c r="O23" s="12">
        <f t="shared" si="25"/>
        <v>0.29727754430842324</v>
      </c>
      <c r="W23" s="7" t="e">
        <f>+W8/#REF!-1</f>
        <v>#REF!</v>
      </c>
      <c r="X23" s="7">
        <f t="shared" ref="X23:AC23" si="26">+X8/W8-1</f>
        <v>0.21504972790392185</v>
      </c>
      <c r="Y23" s="7">
        <f t="shared" si="26"/>
        <v>3.9536679536679609E-2</v>
      </c>
      <c r="Z23" s="7">
        <f t="shared" si="26"/>
        <v>0.45045312732134901</v>
      </c>
      <c r="AA23" s="7">
        <f t="shared" si="26"/>
        <v>0.68329406944586712</v>
      </c>
      <c r="AB23" s="7">
        <f t="shared" si="26"/>
        <v>0.43610806863818907</v>
      </c>
      <c r="AC23" s="7">
        <f t="shared" si="26"/>
        <v>-3.9023770179229644E-2</v>
      </c>
      <c r="AD23" s="7">
        <f>+AD8/AC8-1</f>
        <v>0.13690476190476186</v>
      </c>
    </row>
    <row r="25" spans="2:30" x14ac:dyDescent="0.2">
      <c r="B25" t="s">
        <v>18</v>
      </c>
      <c r="C25" s="12">
        <f>C10/C8</f>
        <v>0.51027688126380155</v>
      </c>
      <c r="D25" s="12">
        <f>D10/D8</f>
        <v>0.52442748091603053</v>
      </c>
      <c r="E25" s="12">
        <f t="shared" ref="E25:F25" si="27">E10/E8</f>
        <v>0.49703504043126684</v>
      </c>
      <c r="F25" s="12">
        <f t="shared" si="27"/>
        <v>0.5083050544740132</v>
      </c>
      <c r="G25" s="12">
        <f>G10/G8</f>
        <v>0.49766486082570521</v>
      </c>
      <c r="H25" s="12">
        <f t="shared" ref="H25:O25" si="28">H10/H8</f>
        <v>0.49542825153946629</v>
      </c>
      <c r="I25" s="12">
        <f t="shared" si="28"/>
        <v>0.5098275862068965</v>
      </c>
      <c r="J25" s="12">
        <f t="shared" si="28"/>
        <v>0.50680933852140075</v>
      </c>
      <c r="K25" s="12">
        <f t="shared" si="28"/>
        <v>0.5097752603690846</v>
      </c>
      <c r="L25" s="12">
        <f t="shared" si="28"/>
        <v>0.53041988003427587</v>
      </c>
      <c r="M25" s="12">
        <f t="shared" si="28"/>
        <v>0.53556239917876525</v>
      </c>
      <c r="N25" s="12">
        <f t="shared" si="28"/>
        <v>0.53982763123530952</v>
      </c>
      <c r="O25" s="12">
        <f t="shared" si="28"/>
        <v>0</v>
      </c>
      <c r="W25" s="7">
        <f>+W10/W8</f>
        <v>0.3495965471945956</v>
      </c>
      <c r="X25" s="7">
        <f>+X10/X8</f>
        <v>0.37791505791505792</v>
      </c>
      <c r="Y25" s="7">
        <f>+Y10/Y8</f>
        <v>0.42608824840291187</v>
      </c>
      <c r="Z25" s="7">
        <f t="shared" ref="Z25:AD25" si="29">+Z10/Z8</f>
        <v>0.44525248386766364</v>
      </c>
      <c r="AA25" s="7">
        <f t="shared" si="29"/>
        <v>0.48247535596933189</v>
      </c>
      <c r="AB25" s="7">
        <f t="shared" si="29"/>
        <v>0.51061395703571888</v>
      </c>
      <c r="AC25" s="7">
        <f t="shared" si="29"/>
        <v>0.5027336860670194</v>
      </c>
      <c r="AD25" s="7">
        <f t="shared" si="29"/>
        <v>0.53019197207678881</v>
      </c>
    </row>
    <row r="28" spans="2:30" x14ac:dyDescent="0.2">
      <c r="B28" t="s">
        <v>59</v>
      </c>
      <c r="M28" s="10">
        <f>+M29-M45</f>
        <v>4681</v>
      </c>
      <c r="N28" s="10">
        <f>+N29-N45</f>
        <v>3560</v>
      </c>
    </row>
    <row r="29" spans="2:30" x14ac:dyDescent="0.2">
      <c r="B29" t="s">
        <v>3</v>
      </c>
      <c r="M29" s="10">
        <f>3897+647+137</f>
        <v>4681</v>
      </c>
      <c r="N29" s="10">
        <f>3787+1345+149</f>
        <v>5281</v>
      </c>
    </row>
    <row r="30" spans="2:30" x14ac:dyDescent="0.2">
      <c r="B30" t="s">
        <v>38</v>
      </c>
      <c r="M30" s="10">
        <v>7241</v>
      </c>
      <c r="N30" s="10">
        <v>6192</v>
      </c>
    </row>
    <row r="31" spans="2:30" x14ac:dyDescent="0.2">
      <c r="B31" t="s">
        <v>39</v>
      </c>
      <c r="M31" s="10">
        <v>5374</v>
      </c>
      <c r="N31" s="10">
        <v>5734</v>
      </c>
    </row>
    <row r="32" spans="2:30" x14ac:dyDescent="0.2">
      <c r="B32" t="s">
        <v>40</v>
      </c>
      <c r="M32" s="10">
        <v>29</v>
      </c>
      <c r="N32" s="10">
        <v>113</v>
      </c>
    </row>
    <row r="33" spans="2:20" x14ac:dyDescent="0.2">
      <c r="B33" t="s">
        <v>41</v>
      </c>
      <c r="M33" s="10">
        <v>1547</v>
      </c>
      <c r="N33" s="10">
        <v>1878</v>
      </c>
    </row>
    <row r="34" spans="2:20" x14ac:dyDescent="0.2">
      <c r="B34" t="s">
        <v>42</v>
      </c>
      <c r="M34" s="10">
        <v>1669</v>
      </c>
      <c r="N34" s="10">
        <v>1802</v>
      </c>
    </row>
    <row r="35" spans="2:20" x14ac:dyDescent="0.2">
      <c r="B35" t="s">
        <v>43</v>
      </c>
      <c r="M35" s="10">
        <v>647</v>
      </c>
      <c r="N35" s="10">
        <v>623</v>
      </c>
    </row>
    <row r="36" spans="2:20" x14ac:dyDescent="0.2">
      <c r="B36" t="s">
        <v>36</v>
      </c>
      <c r="M36" s="10">
        <f>24839+19572</f>
        <v>44411</v>
      </c>
      <c r="N36" s="10">
        <f>24839+18930</f>
        <v>43769</v>
      </c>
    </row>
    <row r="37" spans="2:20" x14ac:dyDescent="0.2">
      <c r="B37" t="s">
        <v>37</v>
      </c>
      <c r="M37" s="10">
        <v>1183</v>
      </c>
      <c r="N37" s="10">
        <v>688</v>
      </c>
    </row>
    <row r="38" spans="2:20" x14ac:dyDescent="0.2">
      <c r="B38" t="s">
        <v>45</v>
      </c>
      <c r="M38" s="10">
        <v>2854</v>
      </c>
      <c r="N38" s="10">
        <v>3146</v>
      </c>
    </row>
    <row r="39" spans="2:20" x14ac:dyDescent="0.2">
      <c r="B39" t="s">
        <v>44</v>
      </c>
      <c r="M39" s="10">
        <f>SUM(M29:M38)</f>
        <v>69636</v>
      </c>
      <c r="N39" s="10">
        <f>SUM(N29:N38)</f>
        <v>69226</v>
      </c>
    </row>
    <row r="41" spans="2:20" s="3" customFormat="1" x14ac:dyDescent="0.2">
      <c r="B41" s="3" t="s">
        <v>58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1990</v>
      </c>
      <c r="O41" s="10"/>
      <c r="P41" s="10"/>
      <c r="Q41" s="10"/>
      <c r="R41" s="10"/>
      <c r="S41" s="10"/>
      <c r="T41" s="10"/>
    </row>
    <row r="42" spans="2:20" s="3" customFormat="1" x14ac:dyDescent="0.2">
      <c r="B42" s="3" t="s">
        <v>57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476</v>
      </c>
      <c r="O42" s="10"/>
      <c r="P42" s="10"/>
      <c r="Q42" s="10"/>
      <c r="R42" s="10"/>
      <c r="S42" s="10"/>
      <c r="T42" s="10"/>
    </row>
    <row r="43" spans="2:20" s="3" customFormat="1" x14ac:dyDescent="0.2">
      <c r="B43" s="3" t="s">
        <v>56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4260</v>
      </c>
      <c r="O43" s="10"/>
      <c r="P43" s="10"/>
      <c r="Q43" s="10"/>
      <c r="R43" s="10"/>
      <c r="S43" s="10"/>
      <c r="T43" s="10"/>
    </row>
    <row r="44" spans="2:20" s="3" customFormat="1" x14ac:dyDescent="0.2">
      <c r="B44" s="3" t="s">
        <v>55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555</v>
      </c>
      <c r="O44" s="10"/>
      <c r="P44" s="10"/>
      <c r="Q44" s="10"/>
      <c r="R44" s="10"/>
      <c r="S44" s="10"/>
      <c r="T44" s="10"/>
    </row>
    <row r="45" spans="2:20" s="3" customFormat="1" x14ac:dyDescent="0.2">
      <c r="B45" s="3" t="s">
        <v>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1721</v>
      </c>
      <c r="O45" s="10"/>
      <c r="P45" s="10"/>
      <c r="Q45" s="10"/>
      <c r="R45" s="10"/>
      <c r="S45" s="10"/>
      <c r="T45" s="10"/>
    </row>
    <row r="46" spans="2:20" s="3" customFormat="1" x14ac:dyDescent="0.2">
      <c r="B46" s="3" t="s">
        <v>54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>
        <v>491</v>
      </c>
      <c r="O46" s="10"/>
      <c r="P46" s="10"/>
      <c r="Q46" s="10"/>
      <c r="R46" s="10"/>
      <c r="S46" s="10"/>
      <c r="T46" s="10"/>
    </row>
    <row r="47" spans="2:20" s="3" customFormat="1" x14ac:dyDescent="0.2">
      <c r="B47" s="3" t="s">
        <v>53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349</v>
      </c>
      <c r="O47" s="10"/>
      <c r="P47" s="10"/>
      <c r="Q47" s="10"/>
      <c r="R47" s="10"/>
      <c r="S47" s="10"/>
      <c r="T47" s="10"/>
    </row>
    <row r="48" spans="2:20" s="3" customFormat="1" x14ac:dyDescent="0.2">
      <c r="B48" s="3" t="s">
        <v>52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1816</v>
      </c>
      <c r="O48" s="10"/>
      <c r="P48" s="10"/>
      <c r="Q48" s="10"/>
      <c r="R48" s="10"/>
      <c r="S48" s="10"/>
      <c r="T48" s="10"/>
    </row>
    <row r="49" spans="2:30" s="3" customFormat="1" x14ac:dyDescent="0.2">
      <c r="B49" s="3" t="s">
        <v>51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>
        <v>57568</v>
      </c>
      <c r="O49" s="10"/>
      <c r="P49" s="10"/>
      <c r="Q49" s="10"/>
      <c r="R49" s="10"/>
      <c r="S49" s="10"/>
      <c r="T49" s="10"/>
    </row>
    <row r="50" spans="2:30" s="3" customFormat="1" x14ac:dyDescent="0.2">
      <c r="B50" s="3" t="s">
        <v>50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f>SUM(N41:N49)</f>
        <v>69226</v>
      </c>
      <c r="O50" s="10"/>
      <c r="P50" s="10"/>
      <c r="Q50" s="10"/>
      <c r="R50" s="10"/>
      <c r="S50" s="10"/>
      <c r="T50" s="10"/>
    </row>
    <row r="51" spans="2:30" s="3" customFormat="1" x14ac:dyDescent="0.2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2:30" s="3" customFormat="1" x14ac:dyDescent="0.2">
      <c r="B52" s="3" t="s">
        <v>60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X52" s="3">
        <v>34</v>
      </c>
      <c r="Y52" s="3">
        <v>493</v>
      </c>
      <c r="Z52" s="3">
        <v>1071</v>
      </c>
      <c r="AA52" s="3">
        <v>3521</v>
      </c>
      <c r="AB52" s="3">
        <v>3565</v>
      </c>
      <c r="AC52" s="3">
        <v>1667</v>
      </c>
      <c r="AD52" s="3">
        <v>3041</v>
      </c>
    </row>
    <row r="53" spans="2:30" s="3" customFormat="1" x14ac:dyDescent="0.2">
      <c r="B53" s="3" t="s">
        <v>61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X53" s="3">
        <v>163</v>
      </c>
      <c r="Y53" s="3">
        <v>149</v>
      </c>
      <c r="Z53" s="3">
        <v>294</v>
      </c>
      <c r="AA53" s="3">
        <v>301</v>
      </c>
      <c r="AB53" s="3">
        <v>450</v>
      </c>
      <c r="AC53" s="3">
        <v>546</v>
      </c>
      <c r="AD53" s="3">
        <v>636</v>
      </c>
    </row>
    <row r="54" spans="2:30" s="3" customFormat="1" x14ac:dyDescent="0.2">
      <c r="B54" s="3" t="s">
        <v>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X54" s="3">
        <f t="shared" ref="X54:AB54" si="30">+X52-X53</f>
        <v>-129</v>
      </c>
      <c r="Y54" s="3">
        <f t="shared" si="30"/>
        <v>344</v>
      </c>
      <c r="Z54" s="3">
        <f t="shared" si="30"/>
        <v>777</v>
      </c>
      <c r="AA54" s="3">
        <f t="shared" si="30"/>
        <v>3220</v>
      </c>
      <c r="AB54" s="3">
        <f t="shared" si="30"/>
        <v>3115</v>
      </c>
      <c r="AC54" s="3">
        <f>+AC52-AC53</f>
        <v>1121</v>
      </c>
      <c r="AD54" s="3">
        <f>+AD52-AD53</f>
        <v>2405</v>
      </c>
    </row>
  </sheetData>
  <hyperlinks>
    <hyperlink ref="A1" location="Main!A1" display="Main" xr:uid="{AE73617B-F45B-445A-BDA8-AE857C9E0C1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2023-02-01T15:38:38Z</dcterms:created>
  <dcterms:modified xsi:type="dcterms:W3CDTF">2025-10-07T18:46:21Z</dcterms:modified>
</cp:coreProperties>
</file>