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F7F55C8-6205-4784-A9EB-BE5EA7CD83B5}" xr6:coauthVersionLast="47" xr6:coauthVersionMax="47" xr10:uidLastSave="{00000000-0000-0000-0000-000000000000}"/>
  <bookViews>
    <workbookView xWindow="7095" yWindow="4920" windowWidth="18075" windowHeight="16020" xr2:uid="{CF143BA6-3FAB-49E7-9E16-976C00770BE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2" l="1"/>
  <c r="P25" i="2"/>
  <c r="O25" i="2"/>
  <c r="N25" i="2"/>
  <c r="M25" i="2"/>
  <c r="L25" i="2"/>
  <c r="R25" i="2"/>
  <c r="L17" i="2"/>
  <c r="K10" i="2"/>
  <c r="K22" i="2"/>
  <c r="K8" i="2"/>
  <c r="K5" i="2"/>
  <c r="K18" i="2" s="1"/>
  <c r="M17" i="2"/>
  <c r="L12" i="2"/>
  <c r="L10" i="2"/>
  <c r="L22" i="2"/>
  <c r="L8" i="2"/>
  <c r="L5" i="2"/>
  <c r="L18" i="2" s="1"/>
  <c r="S2" i="2"/>
  <c r="N17" i="2"/>
  <c r="O17" i="2"/>
  <c r="M12" i="2"/>
  <c r="M10" i="2"/>
  <c r="M22" i="2"/>
  <c r="M8" i="2"/>
  <c r="M5" i="2"/>
  <c r="M18" i="2" s="1"/>
  <c r="N12" i="2"/>
  <c r="N10" i="2"/>
  <c r="N22" i="2"/>
  <c r="N8" i="2"/>
  <c r="N5" i="2"/>
  <c r="N18" i="2" s="1"/>
  <c r="P17" i="2"/>
  <c r="O12" i="2"/>
  <c r="O10" i="2"/>
  <c r="O22" i="2"/>
  <c r="O8" i="2"/>
  <c r="O5" i="2"/>
  <c r="O18" i="2" s="1"/>
  <c r="R22" i="2"/>
  <c r="Q22" i="2"/>
  <c r="P22" i="2"/>
  <c r="R17" i="2"/>
  <c r="Q17" i="2"/>
  <c r="P12" i="2"/>
  <c r="P10" i="2"/>
  <c r="Q12" i="2"/>
  <c r="Q10" i="2"/>
  <c r="P8" i="2"/>
  <c r="P5" i="2"/>
  <c r="Q8" i="2"/>
  <c r="Q5" i="2"/>
  <c r="Q18" i="2" s="1"/>
  <c r="R12" i="2"/>
  <c r="R10" i="2"/>
  <c r="R8" i="2"/>
  <c r="R5" i="2"/>
  <c r="R9" i="2" s="1"/>
  <c r="R11" i="2" s="1"/>
  <c r="H17" i="2"/>
  <c r="G17" i="2"/>
  <c r="F17" i="2"/>
  <c r="F22" i="2"/>
  <c r="G20" i="2"/>
  <c r="G21" i="2"/>
  <c r="H21" i="2" s="1"/>
  <c r="C12" i="2"/>
  <c r="C10" i="2"/>
  <c r="C22" i="2"/>
  <c r="C8" i="2"/>
  <c r="C5" i="2"/>
  <c r="F10" i="2"/>
  <c r="F12" i="2"/>
  <c r="F8" i="2"/>
  <c r="F5" i="2"/>
  <c r="F9" i="2" s="1"/>
  <c r="D12" i="2"/>
  <c r="G12" i="2"/>
  <c r="D22" i="2"/>
  <c r="D8" i="2"/>
  <c r="D5" i="2"/>
  <c r="D18" i="2" s="1"/>
  <c r="G8" i="2"/>
  <c r="G5" i="2"/>
  <c r="E22" i="2"/>
  <c r="H12" i="2"/>
  <c r="E12" i="2"/>
  <c r="E10" i="2"/>
  <c r="H10" i="2"/>
  <c r="H8" i="2"/>
  <c r="E8" i="2"/>
  <c r="E5" i="2"/>
  <c r="E18" i="2" s="1"/>
  <c r="H5" i="2"/>
  <c r="K7" i="1"/>
  <c r="K5" i="1"/>
  <c r="K4" i="1"/>
  <c r="H9" i="2" l="1"/>
  <c r="H11" i="2" s="1"/>
  <c r="R13" i="2"/>
  <c r="R14" i="2" s="1"/>
  <c r="K9" i="2"/>
  <c r="K11" i="2" s="1"/>
  <c r="K13" i="2" s="1"/>
  <c r="K14" i="2" s="1"/>
  <c r="L9" i="2"/>
  <c r="L11" i="2" s="1"/>
  <c r="L13" i="2" s="1"/>
  <c r="L14" i="2" s="1"/>
  <c r="R18" i="2"/>
  <c r="M9" i="2"/>
  <c r="M11" i="2" s="1"/>
  <c r="M13" i="2" s="1"/>
  <c r="M14" i="2" s="1"/>
  <c r="N9" i="2"/>
  <c r="N11" i="2" s="1"/>
  <c r="N13" i="2" s="1"/>
  <c r="N14" i="2" s="1"/>
  <c r="P9" i="2"/>
  <c r="P11" i="2" s="1"/>
  <c r="O9" i="2"/>
  <c r="O11" i="2" s="1"/>
  <c r="O13" i="2" s="1"/>
  <c r="O14" i="2" s="1"/>
  <c r="P18" i="2"/>
  <c r="G22" i="2"/>
  <c r="F18" i="2"/>
  <c r="H20" i="2"/>
  <c r="H22" i="2" s="1"/>
  <c r="P13" i="2"/>
  <c r="P14" i="2" s="1"/>
  <c r="Q9" i="2"/>
  <c r="Q11" i="2" s="1"/>
  <c r="Q13" i="2" s="1"/>
  <c r="Q14" i="2" s="1"/>
  <c r="C9" i="2"/>
  <c r="C11" i="2" s="1"/>
  <c r="C13" i="2" s="1"/>
  <c r="C14" i="2" s="1"/>
  <c r="C18" i="2"/>
  <c r="F11" i="2"/>
  <c r="F13" i="2" s="1"/>
  <c r="F14" i="2" s="1"/>
  <c r="G9" i="2"/>
  <c r="G11" i="2" s="1"/>
  <c r="G13" i="2" s="1"/>
  <c r="G14" i="2" s="1"/>
  <c r="G18" i="2"/>
  <c r="D9" i="2"/>
  <c r="D11" i="2" s="1"/>
  <c r="D13" i="2" s="1"/>
  <c r="D14" i="2" s="1"/>
  <c r="H13" i="2"/>
  <c r="H14" i="2" s="1"/>
  <c r="E9" i="2"/>
  <c r="E11" i="2" s="1"/>
  <c r="E13" i="2" s="1"/>
  <c r="E14" i="2" s="1"/>
  <c r="H18" i="2"/>
</calcChain>
</file>

<file path=xl/sharedStrings.xml><?xml version="1.0" encoding="utf-8"?>
<sst xmlns="http://schemas.openxmlformats.org/spreadsheetml/2006/main" count="29" uniqueCount="25">
  <si>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</si>
  <si>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</si>
  <si>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</si>
  <si>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</si>
  <si>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</si>
  <si>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</si>
  <si>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</si>
  <si>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</si>
  <si>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</si>
  <si>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COGS</t>
  </si>
  <si>
    <t>Gross Profit</t>
  </si>
  <si>
    <t>Gross Margin</t>
  </si>
  <si>
    <t>Store</t>
  </si>
  <si>
    <t>MG&amp;A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</si>
  <si>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</si>
  <si>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</si>
  <si>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</si>
  <si>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</si>
  <si>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</si>
  <si>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</si>
  <si>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</si>
  <si>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</si>
  <si>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CX</t>
  </si>
  <si>
    <t>FCF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</si>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</sst>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yyyy/mm/dd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0" fontId="2" fillId="0" borderId="0" xfId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27710F4-4864-47EE-9B68-2C0D5EFFCA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20420</xdr:colOff>
      <xdr:row>0</xdr:row>
      <xdr:rowOff>0</xdr:rowOff>
    </xdr:from>
    <xdr:to>
      <xdr:col>18</xdr:col>
      <xdr:colOff>20420</xdr:colOff>
      <xdr:row>34</xdr:row>
      <xdr:rowOff>105276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DD560F-B85B-ECBF-0AC3-CB0BEB9AC852}"/>
            </a:ext>
          </a:extLst>
        </xdr:cNvPr>
        <xdr:cNvCxnSpPr/>
      </xdr:nvCxnSpPr>
      <xdr:spPr>
        <a:xfrm>
          <a:off x="10911444" y="0"/>
          <a:ext cx="0" cy="56344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AB3C-A0C7-4B94-B5E5-D50C44E90653}">
  <dimension ref="J2:L7"/>
  <sheetViews>
    <sheetView tabSelected="1" zoomScaleNormal="100" workbookViewId="0"/>
  </sheetViews>
  <sheetFormatPr defaultRowHeight="12.75" x14ac:dyDescent="0.2"/>
  <sheetData>
    <row r="2" spans="10:12" x14ac:dyDescent="0.2">
      <c r="J2" t="s">
        <v>0</v>
      </c>
      <c r="K2" s="1">
        <v>75</v>
      </c>
    </row>
    <row r="3" spans="10:12" x14ac:dyDescent="0.2">
      <c r="J3" t="s">
        <v>1</v>
      </c>
      <c r="K3" s="2">
        <v>50.372689000000001</v>
      </c>
      <c r="L3" s="3" t="s">
        <v>6</v>
      </c>
    </row>
    <row r="4" spans="10:12" x14ac:dyDescent="0.2">
      <c r="J4" t="s">
        <v>2</v>
      </c>
      <c r="K4" s="2">
        <f>+K2*K3</f>
        <v>3777.9516750000003</v>
      </c>
    </row>
    <row r="5" spans="10:12" x14ac:dyDescent="0.2">
      <c r="J5" t="s">
        <v>3</v>
      </c>
      <c r="K5" s="2">
        <f>683.089+55.79</f>
        <v>738.87900000000002</v>
      </c>
      <c r="L5" s="3" t="s">
        <v>6</v>
      </c>
    </row>
    <row r="6" spans="10:12" x14ac:dyDescent="0.2">
      <c r="J6" t="s">
        <v>4</v>
      </c>
      <c r="K6" s="2">
        <v>0</v>
      </c>
      <c r="L6" s="3" t="s">
        <v>6</v>
      </c>
    </row>
    <row r="7" spans="10:12" x14ac:dyDescent="0.2">
      <c r="J7" t="s">
        <v>5</v>
      </c>
      <c r="K7" s="2">
        <f>+K4-K5+K6</f>
        <v>3039.0726750000003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332E-9D93-4D65-80AB-7C6BA94BD099}">
  <dimension ref="A1:S2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6" sqref="K26"/>
    </sheetView>
  </sheetViews>
  <sheetFormatPr defaultRowHeight="12.75" x14ac:dyDescent="0.2"/>
  <cols>
    <col min="1" max="1" width="5" bestFit="1" customWidth="1"/>
    <col min="2" max="2" width="19.7109375" customWidth="1"/>
    <col min="3" max="8" width="10.5703125" bestFit="1" customWidth="1"/>
    <col min="9" max="9" width="10.5703125" customWidth="1"/>
    <col min="11" max="19" width="10.5703125" bestFit="1" customWidth="1"/>
  </cols>
  <sheetData>
    <row r="1" spans="1:19" x14ac:dyDescent="0.2">
      <c r="A1" s="7" t="s">
        <v>7</v>
      </c>
    </row>
    <row r="2" spans="1:19" s="4" customFormat="1" x14ac:dyDescent="0.2">
      <c r="C2" s="8">
        <v>45045</v>
      </c>
      <c r="D2" s="8">
        <v>45136</v>
      </c>
      <c r="E2" s="8">
        <v>45227</v>
      </c>
      <c r="F2" s="8">
        <v>45416</v>
      </c>
      <c r="G2" s="8">
        <v>45507</v>
      </c>
      <c r="H2" s="8">
        <v>45598</v>
      </c>
      <c r="I2" s="8"/>
      <c r="J2" s="8"/>
      <c r="K2" s="8">
        <v>42403</v>
      </c>
      <c r="L2" s="8">
        <v>42769</v>
      </c>
      <c r="M2" s="8">
        <v>43134</v>
      </c>
      <c r="N2" s="8">
        <v>43499</v>
      </c>
      <c r="O2" s="8">
        <v>43864</v>
      </c>
      <c r="P2" s="8">
        <v>44595</v>
      </c>
      <c r="Q2" s="8">
        <v>44960</v>
      </c>
      <c r="R2" s="8">
        <v>45325</v>
      </c>
      <c r="S2" s="8">
        <f>+R2+365</f>
        <v>45690</v>
      </c>
    </row>
    <row r="3" spans="1:19" s="6" customFormat="1" x14ac:dyDescent="0.2">
      <c r="B3" s="6" t="s">
        <v>8</v>
      </c>
      <c r="C3" s="6">
        <v>835.99400000000003</v>
      </c>
      <c r="D3" s="6">
        <v>1056.431</v>
      </c>
      <c r="E3" s="6">
        <v>1056.431</v>
      </c>
      <c r="F3" s="6">
        <v>1020.73</v>
      </c>
      <c r="G3" s="6">
        <v>1133.9739999999999</v>
      </c>
      <c r="H3" s="6">
        <v>1208.9659999999999</v>
      </c>
      <c r="K3" s="6">
        <v>3326.74</v>
      </c>
      <c r="L3" s="6">
        <v>3492.69</v>
      </c>
      <c r="M3" s="6">
        <v>3590</v>
      </c>
      <c r="N3" s="6">
        <v>3623.0729999999999</v>
      </c>
      <c r="O3" s="6">
        <v>3125.384</v>
      </c>
      <c r="P3" s="6">
        <v>3712.768</v>
      </c>
      <c r="Q3" s="6">
        <v>3697.7510000000002</v>
      </c>
      <c r="R3" s="6">
        <v>4280.6769999999997</v>
      </c>
    </row>
    <row r="4" spans="1:19" s="2" customFormat="1" x14ac:dyDescent="0.2">
      <c r="B4" s="2" t="s">
        <v>9</v>
      </c>
      <c r="C4" s="2">
        <v>326.2</v>
      </c>
      <c r="D4" s="2">
        <v>370.762</v>
      </c>
      <c r="E4" s="2">
        <v>370.762</v>
      </c>
      <c r="F4" s="2">
        <v>343.27300000000002</v>
      </c>
      <c r="G4" s="2">
        <v>397.71199999999999</v>
      </c>
      <c r="H4" s="2">
        <v>422.03399999999999</v>
      </c>
      <c r="K4" s="2">
        <v>1298.172</v>
      </c>
      <c r="L4" s="2">
        <v>1408.848</v>
      </c>
      <c r="M4" s="2">
        <v>1430.193</v>
      </c>
      <c r="N4" s="2">
        <v>1472.155</v>
      </c>
      <c r="O4" s="2">
        <v>1234.1790000000001</v>
      </c>
      <c r="P4" s="2">
        <v>1400.7729999999999</v>
      </c>
      <c r="Q4" s="2">
        <v>1593.213</v>
      </c>
      <c r="R4" s="2">
        <v>1587.2650000000001</v>
      </c>
    </row>
    <row r="5" spans="1:19" s="2" customFormat="1" x14ac:dyDescent="0.2">
      <c r="B5" s="2" t="s">
        <v>10</v>
      </c>
      <c r="C5" s="2">
        <f t="shared" ref="C5:H5" si="0">+C3-C4</f>
        <v>509.79400000000004</v>
      </c>
      <c r="D5" s="2">
        <f t="shared" si="0"/>
        <v>685.6690000000001</v>
      </c>
      <c r="E5" s="2">
        <f t="shared" si="0"/>
        <v>685.6690000000001</v>
      </c>
      <c r="F5" s="2">
        <f t="shared" si="0"/>
        <v>677.45699999999999</v>
      </c>
      <c r="G5" s="2">
        <f t="shared" si="0"/>
        <v>736.26199999999994</v>
      </c>
      <c r="H5" s="2">
        <f t="shared" si="0"/>
        <v>786.9319999999999</v>
      </c>
      <c r="K5" s="2">
        <f t="shared" ref="K5:R5" si="1">+K3-K4</f>
        <v>2028.5679999999998</v>
      </c>
      <c r="L5" s="2">
        <f t="shared" si="1"/>
        <v>2083.8420000000001</v>
      </c>
      <c r="M5" s="2">
        <f t="shared" si="1"/>
        <v>2159.8069999999998</v>
      </c>
      <c r="N5" s="2">
        <f t="shared" si="1"/>
        <v>2150.9179999999997</v>
      </c>
      <c r="O5" s="2">
        <f t="shared" si="1"/>
        <v>1891.2049999999999</v>
      </c>
      <c r="P5" s="2">
        <f t="shared" si="1"/>
        <v>2311.9949999999999</v>
      </c>
      <c r="Q5" s="2">
        <f t="shared" si="1"/>
        <v>2104.5380000000005</v>
      </c>
      <c r="R5" s="2">
        <f t="shared" si="1"/>
        <v>2693.4119999999994</v>
      </c>
    </row>
    <row r="6" spans="1:19" s="2" customFormat="1" x14ac:dyDescent="0.2">
      <c r="B6" s="2" t="s">
        <v>12</v>
      </c>
      <c r="C6" s="2">
        <v>336.04899999999998</v>
      </c>
      <c r="D6" s="2">
        <v>383.88299999999998</v>
      </c>
      <c r="E6" s="2">
        <v>383.88299999999998</v>
      </c>
      <c r="F6" s="2">
        <v>371.68599999999998</v>
      </c>
      <c r="G6" s="2">
        <v>390.233</v>
      </c>
      <c r="H6" s="2">
        <v>419.23500000000001</v>
      </c>
      <c r="K6" s="2">
        <v>1578.46</v>
      </c>
      <c r="L6" s="2">
        <v>1540.0319999999999</v>
      </c>
      <c r="M6" s="2">
        <v>1536.2159999999999</v>
      </c>
      <c r="N6" s="2">
        <v>1551.2429999999999</v>
      </c>
      <c r="O6" s="2">
        <v>1379.9480000000001</v>
      </c>
      <c r="P6" s="2">
        <v>1440.423</v>
      </c>
      <c r="Q6" s="2">
        <v>1496.962</v>
      </c>
      <c r="R6" s="2">
        <v>1571.7370000000001</v>
      </c>
    </row>
    <row r="7" spans="1:19" s="2" customFormat="1" x14ac:dyDescent="0.2">
      <c r="B7" s="2" t="s">
        <v>13</v>
      </c>
      <c r="C7" s="2">
        <v>142.631</v>
      </c>
      <c r="D7" s="2">
        <v>162.51</v>
      </c>
      <c r="E7" s="2">
        <v>162.51</v>
      </c>
      <c r="F7" s="2">
        <v>177.88</v>
      </c>
      <c r="G7" s="2">
        <v>170.471</v>
      </c>
      <c r="H7" s="2">
        <v>190.001</v>
      </c>
      <c r="K7" s="2">
        <v>453.202</v>
      </c>
      <c r="L7" s="2">
        <v>471.91399999999999</v>
      </c>
      <c r="M7" s="2">
        <v>484.863</v>
      </c>
      <c r="N7" s="2">
        <v>464.61500000000001</v>
      </c>
      <c r="O7" s="2">
        <v>463.84300000000002</v>
      </c>
      <c r="P7" s="2">
        <v>536.81500000000005</v>
      </c>
      <c r="Q7" s="2">
        <v>517.60199999999998</v>
      </c>
      <c r="R7" s="2">
        <v>642.87699999999995</v>
      </c>
    </row>
    <row r="8" spans="1:19" s="2" customFormat="1" x14ac:dyDescent="0.2">
      <c r="B8" s="2" t="s">
        <v>14</v>
      </c>
      <c r="C8" s="2">
        <f t="shared" ref="C8:H8" si="2">+C6+C7</f>
        <v>478.67999999999995</v>
      </c>
      <c r="D8" s="2">
        <f t="shared" si="2"/>
        <v>546.39300000000003</v>
      </c>
      <c r="E8" s="2">
        <f t="shared" si="2"/>
        <v>546.39300000000003</v>
      </c>
      <c r="F8" s="2">
        <f t="shared" si="2"/>
        <v>549.56600000000003</v>
      </c>
      <c r="G8" s="2">
        <f t="shared" si="2"/>
        <v>560.70399999999995</v>
      </c>
      <c r="H8" s="2">
        <f t="shared" si="2"/>
        <v>609.23599999999999</v>
      </c>
      <c r="K8" s="2">
        <f t="shared" ref="K8:R8" si="3">+K6+K7</f>
        <v>2031.662</v>
      </c>
      <c r="L8" s="2">
        <f t="shared" si="3"/>
        <v>2011.9459999999999</v>
      </c>
      <c r="M8" s="2">
        <f t="shared" si="3"/>
        <v>2021.079</v>
      </c>
      <c r="N8" s="2">
        <f t="shared" si="3"/>
        <v>2015.8579999999999</v>
      </c>
      <c r="O8" s="2">
        <f t="shared" si="3"/>
        <v>1843.7910000000002</v>
      </c>
      <c r="P8" s="2">
        <f t="shared" si="3"/>
        <v>1977.2380000000001</v>
      </c>
      <c r="Q8" s="2">
        <f t="shared" si="3"/>
        <v>2014.5639999999999</v>
      </c>
      <c r="R8" s="2">
        <f t="shared" si="3"/>
        <v>2214.614</v>
      </c>
    </row>
    <row r="9" spans="1:19" s="2" customFormat="1" x14ac:dyDescent="0.2">
      <c r="B9" s="2" t="s">
        <v>15</v>
      </c>
      <c r="C9" s="2">
        <f t="shared" ref="C9:H9" si="4">+C5-C8</f>
        <v>31.11400000000009</v>
      </c>
      <c r="D9" s="2">
        <f t="shared" si="4"/>
        <v>139.27600000000007</v>
      </c>
      <c r="E9" s="2">
        <f t="shared" si="4"/>
        <v>139.27600000000007</v>
      </c>
      <c r="F9" s="2">
        <f t="shared" si="4"/>
        <v>127.89099999999996</v>
      </c>
      <c r="G9" s="2">
        <f t="shared" si="4"/>
        <v>175.55799999999999</v>
      </c>
      <c r="H9" s="2">
        <f t="shared" si="4"/>
        <v>177.69599999999991</v>
      </c>
      <c r="K9" s="2">
        <f t="shared" ref="K9:R9" si="5">+K5-K8</f>
        <v>-3.0940000000002783</v>
      </c>
      <c r="L9" s="2">
        <f t="shared" si="5"/>
        <v>71.896000000000186</v>
      </c>
      <c r="M9" s="2">
        <f t="shared" si="5"/>
        <v>138.72799999999984</v>
      </c>
      <c r="N9" s="2">
        <f t="shared" si="5"/>
        <v>135.05999999999972</v>
      </c>
      <c r="O9" s="2">
        <f t="shared" si="5"/>
        <v>47.41399999999976</v>
      </c>
      <c r="P9" s="2">
        <f t="shared" si="5"/>
        <v>334.75699999999983</v>
      </c>
      <c r="Q9" s="2">
        <f t="shared" si="5"/>
        <v>89.974000000000615</v>
      </c>
      <c r="R9" s="2">
        <f t="shared" si="5"/>
        <v>478.79799999999932</v>
      </c>
    </row>
    <row r="10" spans="1:19" s="2" customFormat="1" x14ac:dyDescent="0.2">
      <c r="B10" s="2" t="s">
        <v>16</v>
      </c>
      <c r="C10" s="2">
        <f>2.894-3.443</f>
        <v>-0.54899999999999993</v>
      </c>
      <c r="D10" s="2">
        <v>-1.097</v>
      </c>
      <c r="E10" s="2">
        <f>8.568-7.897</f>
        <v>0.67099999999999937</v>
      </c>
      <c r="F10" s="2">
        <f>1.958+5.023</f>
        <v>6.9809999999999999</v>
      </c>
      <c r="G10" s="2">
        <v>5.2030000000000003</v>
      </c>
      <c r="H10" s="2">
        <f>0.569-9.302</f>
        <v>-8.7330000000000005</v>
      </c>
      <c r="K10" s="2">
        <f>26.212-18.666+3.478</f>
        <v>11.023999999999999</v>
      </c>
      <c r="L10" s="2">
        <f>-16.938+16.889</f>
        <v>-4.8999999999999488E-2</v>
      </c>
      <c r="M10" s="2">
        <f>5.915-10.999</f>
        <v>-5.0840000000000005</v>
      </c>
      <c r="N10" s="2">
        <f>1.4-7.737</f>
        <v>-6.3369999999999997</v>
      </c>
      <c r="O10" s="2">
        <f>5.054-28.274+48.743</f>
        <v>25.523000000000003</v>
      </c>
      <c r="P10" s="2">
        <f>8.327-37.958+3.848</f>
        <v>-25.783000000000001</v>
      </c>
      <c r="Q10" s="2">
        <f>2.674-30.236+4.604</f>
        <v>-22.958000000000002</v>
      </c>
      <c r="R10" s="2">
        <f>5.873-30.352+29.98</f>
        <v>5.5010000000000012</v>
      </c>
    </row>
    <row r="11" spans="1:19" s="2" customFormat="1" x14ac:dyDescent="0.2">
      <c r="B11" s="2" t="s">
        <v>17</v>
      </c>
      <c r="C11" s="2">
        <f t="shared" ref="C11:H11" si="6">+C9+C10</f>
        <v>30.56500000000009</v>
      </c>
      <c r="D11" s="2">
        <f t="shared" si="6"/>
        <v>138.17900000000006</v>
      </c>
      <c r="E11" s="2">
        <f t="shared" si="6"/>
        <v>139.94700000000006</v>
      </c>
      <c r="F11" s="2">
        <f t="shared" si="6"/>
        <v>134.87199999999996</v>
      </c>
      <c r="G11" s="2">
        <f t="shared" si="6"/>
        <v>180.761</v>
      </c>
      <c r="H11" s="2">
        <f t="shared" si="6"/>
        <v>168.96299999999991</v>
      </c>
      <c r="K11" s="2">
        <f t="shared" ref="K11:R11" si="7">+K9+K10</f>
        <v>7.9299999999997208</v>
      </c>
      <c r="L11" s="2">
        <f t="shared" si="7"/>
        <v>71.847000000000179</v>
      </c>
      <c r="M11" s="2">
        <f t="shared" si="7"/>
        <v>133.64399999999983</v>
      </c>
      <c r="N11" s="2">
        <f t="shared" si="7"/>
        <v>128.72299999999973</v>
      </c>
      <c r="O11" s="2">
        <f t="shared" si="7"/>
        <v>72.936999999999756</v>
      </c>
      <c r="P11" s="2">
        <f t="shared" si="7"/>
        <v>308.97399999999982</v>
      </c>
      <c r="Q11" s="2">
        <f t="shared" si="7"/>
        <v>67.016000000000616</v>
      </c>
      <c r="R11" s="2">
        <f t="shared" si="7"/>
        <v>484.2989999999993</v>
      </c>
    </row>
    <row r="12" spans="1:19" s="2" customFormat="1" x14ac:dyDescent="0.2">
      <c r="B12" s="2" t="s">
        <v>18</v>
      </c>
      <c r="C12" s="2">
        <f>12.718+1.276</f>
        <v>13.994</v>
      </c>
      <c r="D12" s="2">
        <f>30.014+1.837</f>
        <v>31.850999999999999</v>
      </c>
      <c r="E12" s="2">
        <f>39.617+1.521</f>
        <v>41.137999999999998</v>
      </c>
      <c r="F12" s="2">
        <f>19.794+1.228</f>
        <v>21.022000000000002</v>
      </c>
      <c r="G12" s="2">
        <f>45.449+2.211</f>
        <v>47.66</v>
      </c>
      <c r="H12" s="2">
        <f>54.151+1.885</f>
        <v>56.036000000000001</v>
      </c>
      <c r="K12" s="2">
        <v>0</v>
      </c>
      <c r="L12" s="2">
        <f>44.636+3.431</f>
        <v>48.067</v>
      </c>
      <c r="M12" s="2">
        <f>37.559+4.267</f>
        <v>41.826000000000001</v>
      </c>
      <c r="N12" s="2">
        <f>17.371+5.602</f>
        <v>22.972999999999999</v>
      </c>
      <c r="O12" s="2">
        <f>60.211+5.067</f>
        <v>65.277999999999992</v>
      </c>
      <c r="P12" s="2">
        <f>38.908+7.056</f>
        <v>45.963999999999999</v>
      </c>
      <c r="Q12" s="2">
        <f>56.631+7.569</f>
        <v>64.2</v>
      </c>
      <c r="R12" s="2">
        <f>148.886+7.29</f>
        <v>156.17599999999999</v>
      </c>
    </row>
    <row r="13" spans="1:19" s="2" customFormat="1" x14ac:dyDescent="0.2">
      <c r="B13" s="2" t="s">
        <v>19</v>
      </c>
      <c r="C13" s="2">
        <f t="shared" ref="C13:H13" si="8">+C11-C12</f>
        <v>16.57100000000009</v>
      </c>
      <c r="D13" s="2">
        <f t="shared" si="8"/>
        <v>106.32800000000006</v>
      </c>
      <c r="E13" s="2">
        <f t="shared" si="8"/>
        <v>98.809000000000054</v>
      </c>
      <c r="F13" s="2">
        <f t="shared" si="8"/>
        <v>113.84999999999995</v>
      </c>
      <c r="G13" s="2">
        <f t="shared" si="8"/>
        <v>133.101</v>
      </c>
      <c r="H13" s="2">
        <f t="shared" si="8"/>
        <v>112.92699999999991</v>
      </c>
      <c r="K13" s="2">
        <f t="shared" ref="K13:R13" si="9">+K11-K12</f>
        <v>7.9299999999997208</v>
      </c>
      <c r="L13" s="2">
        <f t="shared" si="9"/>
        <v>23.780000000000179</v>
      </c>
      <c r="M13" s="2">
        <f t="shared" si="9"/>
        <v>91.817999999999842</v>
      </c>
      <c r="N13" s="2">
        <f t="shared" si="9"/>
        <v>105.74999999999973</v>
      </c>
      <c r="O13" s="2">
        <f t="shared" si="9"/>
        <v>7.6589999999997644</v>
      </c>
      <c r="P13" s="2">
        <f t="shared" si="9"/>
        <v>263.00999999999982</v>
      </c>
      <c r="Q13" s="2">
        <f t="shared" si="9"/>
        <v>2.8160000000006136</v>
      </c>
      <c r="R13" s="2">
        <f t="shared" si="9"/>
        <v>328.12299999999931</v>
      </c>
    </row>
    <row r="14" spans="1:19" x14ac:dyDescent="0.2">
      <c r="B14" s="2" t="s">
        <v>20</v>
      </c>
      <c r="C14" s="1">
        <f t="shared" ref="C14:H14" si="10">+C13/C15</f>
        <v>0.32197330328171625</v>
      </c>
      <c r="D14" s="1">
        <f t="shared" si="10"/>
        <v>2.0626988437960745</v>
      </c>
      <c r="E14" s="1">
        <f t="shared" si="10"/>
        <v>1.8776413803587726</v>
      </c>
      <c r="F14" s="1">
        <f t="shared" si="10"/>
        <v>2.1369847586155108</v>
      </c>
      <c r="G14" s="1">
        <f t="shared" si="10"/>
        <v>2.4981887798194409</v>
      </c>
      <c r="H14" s="1">
        <f t="shared" si="10"/>
        <v>2.135977605023736</v>
      </c>
      <c r="I14" s="1"/>
      <c r="K14" s="1">
        <f t="shared" ref="K14:R14" si="11">+K13/K15</f>
        <v>0.11613262257629489</v>
      </c>
      <c r="L14" s="1">
        <f t="shared" si="11"/>
        <v>0.3426364854545218</v>
      </c>
      <c r="M14" s="1">
        <f t="shared" si="11"/>
        <v>1.3280587818389551</v>
      </c>
      <c r="N14" s="1">
        <f t="shared" si="11"/>
        <v>1.6076803794581733</v>
      </c>
      <c r="O14" s="1">
        <f t="shared" si="11"/>
        <v>0.12244408562612531</v>
      </c>
      <c r="P14" s="1">
        <f t="shared" si="11"/>
        <v>4.1990229261127752</v>
      </c>
      <c r="Q14" s="1">
        <f t="shared" si="11"/>
        <v>5.3815429892801303E-2</v>
      </c>
      <c r="R14" s="1">
        <f t="shared" si="11"/>
        <v>6.2231726283048081</v>
      </c>
    </row>
    <row r="15" spans="1:19" s="2" customFormat="1" x14ac:dyDescent="0.2">
      <c r="B15" s="2" t="s">
        <v>1</v>
      </c>
      <c r="C15" s="2">
        <v>51.466999999999999</v>
      </c>
      <c r="D15" s="2">
        <v>51.548000000000002</v>
      </c>
      <c r="E15" s="2">
        <v>52.624000000000002</v>
      </c>
      <c r="F15" s="2">
        <v>53.276000000000003</v>
      </c>
      <c r="G15" s="2">
        <v>53.279000000000003</v>
      </c>
      <c r="H15" s="2">
        <v>52.869</v>
      </c>
      <c r="K15" s="2">
        <v>68.284000000000006</v>
      </c>
      <c r="L15" s="2">
        <v>69.403000000000006</v>
      </c>
      <c r="M15" s="2">
        <v>69.137</v>
      </c>
      <c r="N15" s="2">
        <v>65.778000000000006</v>
      </c>
      <c r="O15" s="2">
        <v>62.551000000000002</v>
      </c>
      <c r="P15" s="2">
        <v>62.636000000000003</v>
      </c>
      <c r="Q15" s="2">
        <v>52.326999999999998</v>
      </c>
      <c r="R15" s="2">
        <v>52.725999999999999</v>
      </c>
    </row>
    <row r="16" spans="1:19" x14ac:dyDescent="0.2">
      <c r="C16" s="2"/>
      <c r="D16" s="2"/>
    </row>
    <row r="17" spans="2:18" x14ac:dyDescent="0.2">
      <c r="B17" s="2" t="s">
        <v>24</v>
      </c>
      <c r="C17" s="2"/>
      <c r="D17" s="2"/>
      <c r="F17" s="5">
        <f>+F3/C3-1</f>
        <v>0.22097766251910889</v>
      </c>
      <c r="G17" s="5">
        <f>+G3/D3-1</f>
        <v>7.3400913074303853E-2</v>
      </c>
      <c r="H17" s="5">
        <f>+H3/E3-1</f>
        <v>0.14438709201074174</v>
      </c>
      <c r="I17" s="5"/>
      <c r="L17" s="5">
        <f t="shared" ref="L17:R17" si="12">+L3/K3-1</f>
        <v>4.9883669899060346E-2</v>
      </c>
      <c r="M17" s="5">
        <f t="shared" si="12"/>
        <v>2.7861046929444022E-2</v>
      </c>
      <c r="N17" s="5">
        <f t="shared" si="12"/>
        <v>9.2125348189415757E-3</v>
      </c>
      <c r="O17" s="5">
        <f t="shared" si="12"/>
        <v>-0.13736653939901289</v>
      </c>
      <c r="P17" s="5">
        <f t="shared" si="12"/>
        <v>0.18793978595910144</v>
      </c>
      <c r="Q17" s="5">
        <f t="shared" si="12"/>
        <v>-4.0446911845825051E-3</v>
      </c>
      <c r="R17" s="5">
        <f t="shared" si="12"/>
        <v>0.15764338918439869</v>
      </c>
    </row>
    <row r="18" spans="2:18" x14ac:dyDescent="0.2">
      <c r="B18" t="s">
        <v>11</v>
      </c>
      <c r="C18" s="5">
        <f t="shared" ref="C18:H18" si="13">+C5/C3</f>
        <v>0.60980581200343542</v>
      </c>
      <c r="D18" s="5">
        <f t="shared" si="13"/>
        <v>0.6490428622408847</v>
      </c>
      <c r="E18" s="5">
        <f t="shared" si="13"/>
        <v>0.6490428622408847</v>
      </c>
      <c r="F18" s="5">
        <f t="shared" si="13"/>
        <v>0.66369852948380081</v>
      </c>
      <c r="G18" s="5">
        <f t="shared" si="13"/>
        <v>0.64927590932419965</v>
      </c>
      <c r="H18" s="5">
        <f t="shared" si="13"/>
        <v>0.65091325976082037</v>
      </c>
      <c r="I18" s="5"/>
      <c r="K18" s="5">
        <f t="shared" ref="K18" si="14">+K5/K3</f>
        <v>0.60977653799214848</v>
      </c>
      <c r="L18" s="5">
        <f t="shared" ref="L18:M18" si="15">+L5/L3</f>
        <v>0.5966295319653333</v>
      </c>
      <c r="M18" s="5">
        <f t="shared" si="15"/>
        <v>0.60161754874651807</v>
      </c>
      <c r="N18" s="5">
        <f t="shared" ref="N18:O18" si="16">+N5/N3</f>
        <v>0.59367227764938757</v>
      </c>
      <c r="O18" s="5">
        <f t="shared" si="16"/>
        <v>0.60511124393034577</v>
      </c>
      <c r="P18" s="5">
        <f t="shared" ref="P18:R18" si="17">+P5/P3</f>
        <v>0.6227146430910846</v>
      </c>
      <c r="Q18" s="5">
        <f t="shared" si="17"/>
        <v>0.56913999888040068</v>
      </c>
      <c r="R18" s="5">
        <f t="shared" si="17"/>
        <v>0.62920234346109261</v>
      </c>
    </row>
    <row r="20" spans="2:18" s="2" customFormat="1" x14ac:dyDescent="0.2">
      <c r="B20" s="2" t="s">
        <v>21</v>
      </c>
      <c r="C20" s="2">
        <v>-0.56000000000000005</v>
      </c>
      <c r="D20" s="2">
        <v>216.328</v>
      </c>
      <c r="E20" s="2">
        <v>350.142</v>
      </c>
      <c r="F20" s="2">
        <v>95.01</v>
      </c>
      <c r="G20" s="2">
        <f>260.119-F20</f>
        <v>165.10900000000004</v>
      </c>
      <c r="H20" s="2">
        <f>402.756-G20-F20</f>
        <v>142.63699999999994</v>
      </c>
      <c r="K20" s="2">
        <v>185.16900000000001</v>
      </c>
      <c r="L20" s="2">
        <v>287.65800000000002</v>
      </c>
      <c r="M20" s="2">
        <v>352.93299999999999</v>
      </c>
      <c r="N20" s="2">
        <v>300.685</v>
      </c>
      <c r="O20" s="2">
        <v>404.91800000000001</v>
      </c>
      <c r="P20" s="2">
        <v>277.78199999999998</v>
      </c>
      <c r="Q20" s="2">
        <v>-2.343</v>
      </c>
      <c r="R20" s="2">
        <v>653.42200000000003</v>
      </c>
    </row>
    <row r="21" spans="2:18" s="2" customFormat="1" x14ac:dyDescent="0.2">
      <c r="B21" s="2" t="s">
        <v>22</v>
      </c>
      <c r="C21" s="2">
        <v>46.390999999999998</v>
      </c>
      <c r="D21" s="2">
        <v>89.78</v>
      </c>
      <c r="E21" s="2">
        <v>128.601</v>
      </c>
      <c r="F21" s="2">
        <v>38.886000000000003</v>
      </c>
      <c r="G21" s="2">
        <f>81.649-F21</f>
        <v>42.762999999999998</v>
      </c>
      <c r="H21" s="2">
        <f>132.04-G21-F21</f>
        <v>50.390999999999984</v>
      </c>
      <c r="K21" s="2">
        <v>140.84399999999999</v>
      </c>
      <c r="L21" s="2">
        <v>107.001</v>
      </c>
      <c r="M21" s="2">
        <v>152.393</v>
      </c>
      <c r="N21" s="2">
        <v>202.78399999999999</v>
      </c>
      <c r="O21" s="2">
        <v>101.91</v>
      </c>
      <c r="P21" s="2">
        <v>96.978999999999999</v>
      </c>
      <c r="Q21" s="2">
        <v>164.566</v>
      </c>
      <c r="R21" s="2">
        <v>157.797</v>
      </c>
    </row>
    <row r="22" spans="2:18" s="2" customFormat="1" x14ac:dyDescent="0.2">
      <c r="B22" s="2" t="s">
        <v>23</v>
      </c>
      <c r="C22" s="2">
        <f t="shared" ref="C22:H22" si="18">+C20-C21</f>
        <v>-46.951000000000001</v>
      </c>
      <c r="D22" s="2">
        <f t="shared" si="18"/>
        <v>126.548</v>
      </c>
      <c r="E22" s="2">
        <f t="shared" si="18"/>
        <v>221.541</v>
      </c>
      <c r="F22" s="2">
        <f t="shared" si="18"/>
        <v>56.124000000000002</v>
      </c>
      <c r="G22" s="2">
        <f t="shared" si="18"/>
        <v>122.34600000000003</v>
      </c>
      <c r="H22" s="2">
        <f t="shared" si="18"/>
        <v>92.245999999999952</v>
      </c>
      <c r="K22" s="2">
        <f t="shared" ref="K22:R22" si="19">+K20-K21</f>
        <v>44.325000000000017</v>
      </c>
      <c r="L22" s="2">
        <f t="shared" si="19"/>
        <v>180.65700000000001</v>
      </c>
      <c r="M22" s="2">
        <f t="shared" si="19"/>
        <v>200.54</v>
      </c>
      <c r="N22" s="2">
        <f t="shared" si="19"/>
        <v>97.90100000000001</v>
      </c>
      <c r="O22" s="2">
        <f t="shared" si="19"/>
        <v>303.00800000000004</v>
      </c>
      <c r="P22" s="2">
        <f t="shared" si="19"/>
        <v>180.803</v>
      </c>
      <c r="Q22" s="2">
        <f t="shared" si="19"/>
        <v>-166.90899999999999</v>
      </c>
      <c r="R22" s="2">
        <f t="shared" si="19"/>
        <v>495.625</v>
      </c>
    </row>
    <row r="25" spans="2:18" x14ac:dyDescent="0.2">
      <c r="B25" s="2" t="s">
        <v>24</v>
      </c>
      <c r="L25" s="5">
        <f t="shared" ref="L25:Q25" si="20">+L3/K3-1</f>
        <v>4.9883669899060346E-2</v>
      </c>
      <c r="M25" s="5">
        <f t="shared" si="20"/>
        <v>2.7861046929444022E-2</v>
      </c>
      <c r="N25" s="5">
        <f t="shared" si="20"/>
        <v>9.2125348189415757E-3</v>
      </c>
      <c r="O25" s="5">
        <f t="shared" si="20"/>
        <v>-0.13736653939901289</v>
      </c>
      <c r="P25" s="5">
        <f t="shared" si="20"/>
        <v>0.18793978595910144</v>
      </c>
      <c r="Q25" s="5">
        <f t="shared" si="20"/>
        <v>-4.0446911845825051E-3</v>
      </c>
      <c r="R25" s="5">
        <f>+R3/Q3-1</f>
        <v>0.15764338918439869</v>
      </c>
    </row>
  </sheetData>
  <hyperlinks>
    <hyperlink ref="A1" location="Main!A1" display="Main" xr:uid="{2B5BBCE3-646F-4B18-B6B6-30CF76A010D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2025-03-26T15:57:05Z</dcterms:created>
  <dcterms:modified xsi:type="dcterms:W3CDTF">2025-10-07T21:18:48Z</dcterms:modified>
</cp:coreProperties>
</file>