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7DE0364-9697-463B-9479-A72C55B65D8B}" xr6:coauthVersionLast="47" xr6:coauthVersionMax="47" xr10:uidLastSave="{00000000-0000-0000-0000-000000000000}"/>
  <bookViews>
    <workbookView xWindow="780" yWindow="780" windowWidth="18075" windowHeight="16020" xr2:uid="{5A4F9208-C942-42F5-8128-0F21183EE1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8" i="2" l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AI18" i="2"/>
  <c r="AH18" i="2"/>
  <c r="AG24" i="2"/>
  <c r="AF24" i="2"/>
  <c r="AE24" i="2"/>
  <c r="AD24" i="2"/>
  <c r="AC24" i="2"/>
  <c r="AB24" i="2"/>
  <c r="AA24" i="2"/>
  <c r="Z24" i="2"/>
  <c r="Y24" i="2"/>
  <c r="X24" i="2"/>
  <c r="V24" i="2"/>
  <c r="U24" i="2"/>
  <c r="T24" i="2"/>
  <c r="X20" i="2"/>
  <c r="Y20" i="2" s="1"/>
  <c r="X19" i="2"/>
  <c r="W19" i="2"/>
  <c r="W20" i="2"/>
  <c r="AG17" i="2"/>
  <c r="AF17" i="2"/>
  <c r="AE17" i="2"/>
  <c r="AD17" i="2"/>
  <c r="AC17" i="2"/>
  <c r="AB17" i="2"/>
  <c r="AA17" i="2"/>
  <c r="Z17" i="2"/>
  <c r="Y17" i="2"/>
  <c r="X17" i="2"/>
  <c r="AG18" i="2"/>
  <c r="AF18" i="2"/>
  <c r="AE18" i="2"/>
  <c r="AD18" i="2"/>
  <c r="AC18" i="2"/>
  <c r="AB18" i="2"/>
  <c r="AA18" i="2"/>
  <c r="Z18" i="2"/>
  <c r="Y18" i="2"/>
  <c r="X18" i="2"/>
  <c r="W18" i="2"/>
  <c r="AG16" i="2"/>
  <c r="AF16" i="2"/>
  <c r="AE16" i="2"/>
  <c r="AD16" i="2"/>
  <c r="AC16" i="2"/>
  <c r="AB16" i="2"/>
  <c r="AA16" i="2"/>
  <c r="Z16" i="2"/>
  <c r="Y16" i="2"/>
  <c r="X16" i="2"/>
  <c r="W16" i="2"/>
  <c r="X12" i="2"/>
  <c r="Y12" i="2" s="1"/>
  <c r="W12" i="2"/>
  <c r="W13" i="2" s="1"/>
  <c r="W14" i="2" s="1"/>
  <c r="X13" i="2"/>
  <c r="X14" i="2" s="1"/>
  <c r="AG9" i="2"/>
  <c r="AF9" i="2"/>
  <c r="AE9" i="2"/>
  <c r="AD9" i="2"/>
  <c r="AC9" i="2"/>
  <c r="AB9" i="2"/>
  <c r="AA9" i="2"/>
  <c r="Z9" i="2"/>
  <c r="Y9" i="2"/>
  <c r="X9" i="2"/>
  <c r="W9" i="2"/>
  <c r="AG10" i="2"/>
  <c r="AF10" i="2"/>
  <c r="AE10" i="2"/>
  <c r="AD10" i="2"/>
  <c r="AC10" i="2"/>
  <c r="AB10" i="2"/>
  <c r="AA10" i="2"/>
  <c r="Z10" i="2"/>
  <c r="Y10" i="2"/>
  <c r="AG8" i="2"/>
  <c r="AF8" i="2"/>
  <c r="AE8" i="2"/>
  <c r="AD8" i="2"/>
  <c r="AC8" i="2"/>
  <c r="AB8" i="2"/>
  <c r="AA8" i="2"/>
  <c r="Z8" i="2"/>
  <c r="Y8" i="2"/>
  <c r="X8" i="2"/>
  <c r="X10" i="2" s="1"/>
  <c r="W10" i="2"/>
  <c r="W24" i="2" s="1"/>
  <c r="Y7" i="2"/>
  <c r="Z7" i="2" s="1"/>
  <c r="AA7" i="2" s="1"/>
  <c r="AB7" i="2" s="1"/>
  <c r="AC7" i="2" s="1"/>
  <c r="AD7" i="2" s="1"/>
  <c r="AE7" i="2" s="1"/>
  <c r="AF7" i="2" s="1"/>
  <c r="AG7" i="2" s="1"/>
  <c r="Y6" i="2"/>
  <c r="Z6" i="2" s="1"/>
  <c r="AA6" i="2" s="1"/>
  <c r="AB6" i="2" s="1"/>
  <c r="AC6" i="2" s="1"/>
  <c r="AD6" i="2" s="1"/>
  <c r="AE6" i="2" s="1"/>
  <c r="AF6" i="2" s="1"/>
  <c r="AG6" i="2" s="1"/>
  <c r="Y5" i="2"/>
  <c r="Z5" i="2" s="1"/>
  <c r="AA5" i="2" s="1"/>
  <c r="AB5" i="2" s="1"/>
  <c r="AC5" i="2" s="1"/>
  <c r="AD5" i="2" s="1"/>
  <c r="AE5" i="2" s="1"/>
  <c r="AF5" i="2" s="1"/>
  <c r="AG5" i="2" s="1"/>
  <c r="Y4" i="2"/>
  <c r="Z4" i="2" s="1"/>
  <c r="AA4" i="2" s="1"/>
  <c r="AB4" i="2" s="1"/>
  <c r="AC4" i="2" s="1"/>
  <c r="AD4" i="2" s="1"/>
  <c r="AE4" i="2" s="1"/>
  <c r="AF4" i="2" s="1"/>
  <c r="AG4" i="2" s="1"/>
  <c r="X4" i="2"/>
  <c r="X6" i="2"/>
  <c r="X5" i="2"/>
  <c r="X7" i="2"/>
  <c r="N7" i="2"/>
  <c r="N6" i="2"/>
  <c r="M7" i="2"/>
  <c r="M6" i="2"/>
  <c r="W6" i="2" s="1"/>
  <c r="N5" i="2"/>
  <c r="W5" i="2" s="1"/>
  <c r="M5" i="2"/>
  <c r="W7" i="2"/>
  <c r="W4" i="2"/>
  <c r="N4" i="2"/>
  <c r="M4" i="2"/>
  <c r="AG3" i="2"/>
  <c r="AF3" i="2"/>
  <c r="AE3" i="2"/>
  <c r="AD3" i="2"/>
  <c r="AC3" i="2"/>
  <c r="AB3" i="2"/>
  <c r="AA3" i="2"/>
  <c r="Z3" i="2"/>
  <c r="Y3" i="2"/>
  <c r="X3" i="2"/>
  <c r="AG2" i="2"/>
  <c r="AF2" i="2"/>
  <c r="AE2" i="2"/>
  <c r="AD2" i="2"/>
  <c r="AC2" i="2"/>
  <c r="AB2" i="2"/>
  <c r="AA2" i="2"/>
  <c r="Z2" i="2"/>
  <c r="Y2" i="2"/>
  <c r="X2" i="2"/>
  <c r="N8" i="2"/>
  <c r="W3" i="2"/>
  <c r="N22" i="2"/>
  <c r="M22" i="2"/>
  <c r="N3" i="2"/>
  <c r="M3" i="2"/>
  <c r="L22" i="2"/>
  <c r="K22" i="2"/>
  <c r="J22" i="2"/>
  <c r="I22" i="2"/>
  <c r="H22" i="2"/>
  <c r="G22" i="2"/>
  <c r="F3" i="2"/>
  <c r="C13" i="2"/>
  <c r="C10" i="2"/>
  <c r="D8" i="2"/>
  <c r="D10" i="2" s="1"/>
  <c r="D13" i="2"/>
  <c r="E8" i="2"/>
  <c r="E10" i="2" s="1"/>
  <c r="I8" i="2"/>
  <c r="F18" i="2"/>
  <c r="F19" i="2" s="1"/>
  <c r="F16" i="2"/>
  <c r="F13" i="2"/>
  <c r="F14" i="2" s="1"/>
  <c r="E13" i="2"/>
  <c r="K19" i="2"/>
  <c r="J20" i="2"/>
  <c r="J17" i="2"/>
  <c r="J15" i="2"/>
  <c r="J12" i="2"/>
  <c r="J11" i="2"/>
  <c r="J9" i="2"/>
  <c r="J7" i="2"/>
  <c r="J6" i="2"/>
  <c r="J5" i="2"/>
  <c r="J4" i="2"/>
  <c r="J3" i="2"/>
  <c r="T18" i="2"/>
  <c r="T19" i="2" s="1"/>
  <c r="U18" i="2"/>
  <c r="U19" i="2" s="1"/>
  <c r="U16" i="2"/>
  <c r="T16" i="2"/>
  <c r="U13" i="2"/>
  <c r="U14" i="2" s="1"/>
  <c r="T13" i="2"/>
  <c r="T14" i="2" s="1"/>
  <c r="V13" i="2"/>
  <c r="U10" i="2"/>
  <c r="T10" i="2"/>
  <c r="U8" i="2"/>
  <c r="W2" i="2"/>
  <c r="V2" i="2"/>
  <c r="U2" i="2"/>
  <c r="T2" i="2"/>
  <c r="S2" i="2"/>
  <c r="G8" i="2"/>
  <c r="K8" i="2"/>
  <c r="K10" i="2" s="1"/>
  <c r="G13" i="2"/>
  <c r="G10" i="2"/>
  <c r="K15" i="2"/>
  <c r="I10" i="2"/>
  <c r="H10" i="2"/>
  <c r="L8" i="2"/>
  <c r="H8" i="2"/>
  <c r="Y19" i="2" l="1"/>
  <c r="Z20" i="2"/>
  <c r="Z12" i="2"/>
  <c r="Y13" i="2"/>
  <c r="Y14" i="2" s="1"/>
  <c r="M8" i="2"/>
  <c r="W8" i="2" s="1"/>
  <c r="C14" i="2"/>
  <c r="C16" i="2" s="1"/>
  <c r="C18" i="2" s="1"/>
  <c r="C19" i="2" s="1"/>
  <c r="D14" i="2"/>
  <c r="D16" i="2" s="1"/>
  <c r="D18" i="2" s="1"/>
  <c r="D19" i="2" s="1"/>
  <c r="E14" i="2"/>
  <c r="E16" i="2" s="1"/>
  <c r="E18" i="2" s="1"/>
  <c r="E19" i="2" s="1"/>
  <c r="J8" i="2"/>
  <c r="V8" i="2" s="1"/>
  <c r="V10" i="2" s="1"/>
  <c r="V14" i="2" s="1"/>
  <c r="V16" i="2" s="1"/>
  <c r="V18" i="2" s="1"/>
  <c r="V19" i="2" s="1"/>
  <c r="G14" i="2"/>
  <c r="G16" i="2" s="1"/>
  <c r="G18" i="2" s="1"/>
  <c r="G19" i="2" s="1"/>
  <c r="H15" i="2"/>
  <c r="L15" i="2"/>
  <c r="K13" i="2"/>
  <c r="K14" i="2" s="1"/>
  <c r="K16" i="2" s="1"/>
  <c r="K18" i="2" s="1"/>
  <c r="J13" i="2"/>
  <c r="I13" i="2"/>
  <c r="I14" i="2" s="1"/>
  <c r="I16" i="2" s="1"/>
  <c r="I18" i="2" s="1"/>
  <c r="I19" i="2" s="1"/>
  <c r="H13" i="2"/>
  <c r="L13" i="2"/>
  <c r="L10" i="2"/>
  <c r="L14" i="2" s="1"/>
  <c r="L16" i="2" s="1"/>
  <c r="L18" i="2" s="1"/>
  <c r="L19" i="2" s="1"/>
  <c r="L6" i="1"/>
  <c r="L4" i="1"/>
  <c r="L7" i="1" l="1"/>
  <c r="AJ27" i="2"/>
  <c r="AJ28" i="2" s="1"/>
  <c r="Z19" i="2"/>
  <c r="AA20" i="2"/>
  <c r="AA12" i="2"/>
  <c r="Z13" i="2"/>
  <c r="Z14" i="2" s="1"/>
  <c r="J10" i="2"/>
  <c r="J14" i="2" s="1"/>
  <c r="J16" i="2" s="1"/>
  <c r="J18" i="2" s="1"/>
  <c r="J19" i="2" s="1"/>
  <c r="H14" i="2"/>
  <c r="H16" i="2" s="1"/>
  <c r="H18" i="2" s="1"/>
  <c r="H19" i="2" s="1"/>
  <c r="AB20" i="2" l="1"/>
  <c r="AA19" i="2"/>
  <c r="AB12" i="2"/>
  <c r="AA13" i="2"/>
  <c r="AA14" i="2" s="1"/>
  <c r="AC20" i="2" l="1"/>
  <c r="AB19" i="2"/>
  <c r="AC12" i="2"/>
  <c r="AB13" i="2"/>
  <c r="AB14" i="2" s="1"/>
  <c r="AC19" i="2" l="1"/>
  <c r="AD20" i="2"/>
  <c r="AD12" i="2"/>
  <c r="AC13" i="2"/>
  <c r="AC14" i="2" s="1"/>
  <c r="AE20" i="2" l="1"/>
  <c r="AD19" i="2"/>
  <c r="AD13" i="2"/>
  <c r="AD14" i="2" s="1"/>
  <c r="AE12" i="2"/>
  <c r="AF20" i="2" l="1"/>
  <c r="AE19" i="2"/>
  <c r="AF12" i="2"/>
  <c r="AE13" i="2"/>
  <c r="AE14" i="2" s="1"/>
  <c r="AG20" i="2" l="1"/>
  <c r="AG19" i="2" s="1"/>
  <c r="AF19" i="2"/>
  <c r="AG12" i="2"/>
  <c r="AG13" i="2" s="1"/>
  <c r="AG14" i="2" s="1"/>
  <c r="AF13" i="2"/>
  <c r="AF14" i="2" s="1"/>
</calcChain>
</file>

<file path=xl/sharedStrings.xml><?xml version="1.0" encoding="utf-8"?>
<sst xmlns="http://schemas.openxmlformats.org/spreadsheetml/2006/main" count="61" uniqueCount="57">
  <si>
    <t>Price</t>
  </si>
  <si>
    <t>Shares</t>
  </si>
  <si>
    <t>MC</t>
  </si>
  <si>
    <t>Cash</t>
  </si>
  <si>
    <t>Debt</t>
  </si>
  <si>
    <t>EV</t>
  </si>
  <si>
    <t>Q225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</si>
  <si>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</si>
  <si>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</si>
  <si>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</si>
  <si>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</si>
  <si>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</si>
  <si>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</si>
  <si>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</si>
  <si>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</si>
  <si>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</si>
  <si>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</si>
  <si>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</si>
  <si>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</si>
  <si>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</si>
  <si>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</si>
  <si>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</si>
  <si>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</si>
  <si>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</si>
  <si>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</si>
  <si>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</si>
  <si>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EPS</t>
  </si>
  <si>
    <t>Net Income</t>
  </si>
  <si>
    <t>Taxes</t>
  </si>
  <si>
    <t>Pretax Income</t>
  </si>
  <si>
    <t>9/16/24: Alimera acquisition.</t>
  </si>
  <si>
    <t>Cortrophin Gel</t>
  </si>
  <si>
    <t>Iluvien/Yutiq</t>
  </si>
  <si>
    <t>Brands</t>
  </si>
  <si>
    <t>Generics</t>
  </si>
  <si>
    <t>Royalties</t>
  </si>
  <si>
    <t>Interest Income</t>
  </si>
  <si>
    <t>Gross Margin</t>
  </si>
  <si>
    <t>Cortrophin y/y</t>
  </si>
  <si>
    <t>Terminal</t>
  </si>
  <si>
    <t>Discount</t>
  </si>
  <si>
    <t>NPV</t>
  </si>
  <si>
    <t>Share</t>
  </si>
  <si>
    <t xml:space="preserve">Cortrophin Gel momentum </t>
  </si>
  <si>
    <t xml:space="preserve"> Achieved record sales and patient starts; nearly half of prescribers were new to the ACTH category, expanding long-term market potential.</t>
  </si>
  <si>
    <t xml:space="preserve">Prefilled syringe launch </t>
  </si>
  <si>
    <t xml:space="preserve"> FDA approval and rollout of the prefilled syringe version simplifies administration and is expected to support continued volume growth.</t>
  </si>
  <si>
    <t xml:space="preserve">Raised FY25 guidance </t>
  </si>
  <si>
    <t xml:space="preserve"> Management increased full-year revenue and earnings outlook, driven by stronger-than-expected Cortrophin demand and solid generics performance.</t>
  </si>
  <si>
    <t xml:space="preserve">Generics portfolio expansion </t>
  </si>
  <si>
    <t xml:space="preserve"> Successful launch of prucalopride with 180-day CGT exclusivity and several niche generics strengthened margins and market position.</t>
  </si>
  <si>
    <t xml:space="preserve">Broadening indications </t>
  </si>
  <si>
    <t xml:space="preserve"> Growing off-label adoption of Cortrophin Gel, particularly in gout and other inflammatory conditions, enhancing its addressable market.</t>
  </si>
  <si>
    <t xml:space="preserve">Operational efficiency </t>
  </si>
  <si>
    <t xml:space="preserve"> Improved gross margins from manufacturing optimization and favorable mix between branded and generic segments.</t>
  </si>
  <si>
    <t xml:space="preserve">H2 setup </t>
  </si>
  <si>
    <t xml:space="preserve"> Continued momentum in rare disease and specialty pharma, combined with disciplined expense management, positions the company for sustained EPS growth.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</si>
</sst>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0</xdr:row>
      <xdr:rowOff>63500</xdr:rowOff>
    </xdr:from>
    <xdr:to>
      <xdr:col>12</xdr:col>
      <xdr:colOff>31750</xdr:colOff>
      <xdr:row>52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08AC17E-80A7-31EF-83E5-AF5561050B2E}"/>
            </a:ext>
          </a:extLst>
        </xdr:cNvPr>
        <xdr:cNvCxnSpPr/>
      </xdr:nvCxnSpPr>
      <xdr:spPr>
        <a:xfrm>
          <a:off x="7658100" y="63500"/>
          <a:ext cx="0" cy="7518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55217</xdr:colOff>
      <xdr:row>0</xdr:row>
      <xdr:rowOff>27609</xdr:rowOff>
    </xdr:from>
    <xdr:to>
      <xdr:col>22</xdr:col>
      <xdr:colOff>55217</xdr:colOff>
      <xdr:row>46</xdr:row>
      <xdr:rowOff>71782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6A19309-33AC-9555-E26C-759A78E3928A}"/>
            </a:ext>
          </a:extLst>
        </xdr:cNvPr>
        <xdr:cNvCxnSpPr/>
      </xdr:nvCxnSpPr>
      <xdr:spPr>
        <a:xfrm>
          <a:off x="13732565" y="27609"/>
          <a:ext cx="0" cy="74156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6432-7E2E-467D-8675-D05E9B61B411}">
  <dimension ref="B2:M24"/>
  <sheetViews>
    <sheetView tabSelected="1" zoomScaleNormal="100" workbookViewId="0">
      <selection activeCell="D20" sqref="D20"/>
    </sheetView>
  </sheetViews>
  <sheetFormatPr defaultColWidth="8.7109375" defaultRowHeight="12.75" x14ac:dyDescent="0.2"/>
  <cols>
    <col min="1" max="1" width="8.7109375" style="1"/>
    <col min="2" max="2" width="25.5703125" style="1" bestFit="1" customWidth="1"/>
    <col min="3" max="16384" width="8.7109375" style="1"/>
  </cols>
  <sheetData>
    <row r="2" spans="2:13" x14ac:dyDescent="0.2">
      <c r="K2" s="1" t="s">
        <v>0</v>
      </c>
      <c r="L2" s="2">
        <v>90</v>
      </c>
    </row>
    <row r="3" spans="2:13" x14ac:dyDescent="0.2">
      <c r="K3" s="1" t="s">
        <v>1</v>
      </c>
      <c r="L3" s="3">
        <v>21.688772</v>
      </c>
      <c r="M3" s="4" t="s">
        <v>6</v>
      </c>
    </row>
    <row r="4" spans="2:13" x14ac:dyDescent="0.2">
      <c r="K4" s="1" t="s">
        <v>2</v>
      </c>
      <c r="L4" s="3">
        <f>+L2*L3</f>
        <v>1951.98948</v>
      </c>
    </row>
    <row r="5" spans="2:13" x14ac:dyDescent="0.2">
      <c r="K5" s="1" t="s">
        <v>3</v>
      </c>
      <c r="L5" s="3">
        <v>217.797</v>
      </c>
      <c r="M5" s="4" t="s">
        <v>6</v>
      </c>
    </row>
    <row r="6" spans="2:13" x14ac:dyDescent="0.2">
      <c r="K6" s="1" t="s">
        <v>4</v>
      </c>
      <c r="L6" s="3">
        <f>13.216+306.862+301.484</f>
        <v>621.56200000000001</v>
      </c>
      <c r="M6" s="4" t="s">
        <v>6</v>
      </c>
    </row>
    <row r="7" spans="2:13" x14ac:dyDescent="0.2">
      <c r="K7" s="1" t="s">
        <v>5</v>
      </c>
      <c r="L7" s="3">
        <f>+L4-L5+L6</f>
        <v>2355.7544800000001</v>
      </c>
    </row>
    <row r="9" spans="2:13" x14ac:dyDescent="0.2">
      <c r="K9" s="1" t="s">
        <v>30</v>
      </c>
    </row>
    <row r="11" spans="2:13" x14ac:dyDescent="0.2">
      <c r="B11" s="12" t="s">
        <v>43</v>
      </c>
      <c r="C11" s="1" t="s">
        <v>44</v>
      </c>
    </row>
    <row r="12" spans="2:13" x14ac:dyDescent="0.2">
      <c r="B12" s="12" t="s">
        <v>45</v>
      </c>
      <c r="C12" s="1" t="s">
        <v>46</v>
      </c>
    </row>
    <row r="13" spans="2:13" x14ac:dyDescent="0.2">
      <c r="B13" s="12" t="s">
        <v>47</v>
      </c>
      <c r="C13" s="1" t="s">
        <v>48</v>
      </c>
    </row>
    <row r="14" spans="2:13" x14ac:dyDescent="0.2">
      <c r="B14" s="12" t="s">
        <v>49</v>
      </c>
      <c r="C14" s="1" t="s">
        <v>50</v>
      </c>
    </row>
    <row r="15" spans="2:13" x14ac:dyDescent="0.2">
      <c r="B15" s="12" t="s">
        <v>51</v>
      </c>
      <c r="C15" s="1" t="s">
        <v>52</v>
      </c>
    </row>
    <row r="16" spans="2:13" x14ac:dyDescent="0.2">
      <c r="B16" s="12" t="s">
        <v>53</v>
      </c>
      <c r="C16" s="1" t="s">
        <v>54</v>
      </c>
    </row>
    <row r="17" spans="2:3" x14ac:dyDescent="0.2">
      <c r="B17" s="12" t="s">
        <v>55</v>
      </c>
      <c r="C17" s="1" t="s">
        <v>56</v>
      </c>
    </row>
    <row r="20" spans="2:3" ht="15" x14ac:dyDescent="0.25">
      <c r="C20"/>
    </row>
    <row r="22" spans="2:3" ht="15" x14ac:dyDescent="0.25">
      <c r="C22"/>
    </row>
    <row r="24" spans="2:3" ht="15" x14ac:dyDescent="0.25">
      <c r="C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E8CC-B79D-4279-A274-A88EB5A652F1}">
  <dimension ref="A1:EA28"/>
  <sheetViews>
    <sheetView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G3" sqref="AG3"/>
    </sheetView>
  </sheetViews>
  <sheetFormatPr defaultColWidth="8.7109375" defaultRowHeight="12.75" x14ac:dyDescent="0.2"/>
  <cols>
    <col min="1" max="1" width="4.7109375" style="1" bestFit="1" customWidth="1"/>
    <col min="2" max="2" width="17.140625" style="1" bestFit="1" customWidth="1"/>
    <col min="3" max="14" width="8.7109375" style="4"/>
    <col min="15" max="35" width="8.7109375" style="1"/>
    <col min="36" max="36" width="9.5703125" style="1" bestFit="1" customWidth="1"/>
    <col min="37" max="16384" width="8.7109375" style="1"/>
  </cols>
  <sheetData>
    <row r="1" spans="1:33" x14ac:dyDescent="0.2">
      <c r="A1" s="1" t="s">
        <v>7</v>
      </c>
    </row>
    <row r="2" spans="1:33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6</v>
      </c>
      <c r="M2" s="4" t="s">
        <v>18</v>
      </c>
      <c r="N2" s="4" t="s">
        <v>19</v>
      </c>
      <c r="R2" s="1">
        <v>2020</v>
      </c>
      <c r="S2" s="1">
        <f t="shared" ref="S2:AG2" si="0">+R2+1</f>
        <v>2021</v>
      </c>
      <c r="T2" s="1">
        <f t="shared" si="0"/>
        <v>2022</v>
      </c>
      <c r="U2" s="1">
        <f t="shared" si="0"/>
        <v>2023</v>
      </c>
      <c r="V2" s="1">
        <f t="shared" si="0"/>
        <v>2024</v>
      </c>
      <c r="W2" s="1">
        <f t="shared" si="0"/>
        <v>2025</v>
      </c>
      <c r="X2" s="1">
        <f t="shared" si="0"/>
        <v>2026</v>
      </c>
      <c r="Y2" s="1">
        <f t="shared" si="0"/>
        <v>2027</v>
      </c>
      <c r="Z2" s="1">
        <f t="shared" si="0"/>
        <v>2028</v>
      </c>
      <c r="AA2" s="1">
        <f t="shared" si="0"/>
        <v>2029</v>
      </c>
      <c r="AB2" s="1">
        <f t="shared" si="0"/>
        <v>2030</v>
      </c>
      <c r="AC2" s="1">
        <f t="shared" si="0"/>
        <v>2031</v>
      </c>
      <c r="AD2" s="1">
        <f t="shared" si="0"/>
        <v>2032</v>
      </c>
      <c r="AE2" s="1">
        <f t="shared" si="0"/>
        <v>2033</v>
      </c>
      <c r="AF2" s="1">
        <f t="shared" si="0"/>
        <v>2034</v>
      </c>
      <c r="AG2" s="1">
        <f t="shared" si="0"/>
        <v>2035</v>
      </c>
    </row>
    <row r="3" spans="1:33" s="3" customFormat="1" x14ac:dyDescent="0.2">
      <c r="B3" s="3" t="s">
        <v>31</v>
      </c>
      <c r="C3" s="5">
        <v>16.329999999999998</v>
      </c>
      <c r="D3" s="5">
        <v>24.303999999999998</v>
      </c>
      <c r="E3" s="5">
        <v>29.734000000000002</v>
      </c>
      <c r="F3" s="5">
        <f>+U3-E3-D3-C3</f>
        <v>41.749000000000009</v>
      </c>
      <c r="G3" s="5">
        <v>36.936999999999998</v>
      </c>
      <c r="H3" s="5">
        <v>49.192999999999998</v>
      </c>
      <c r="I3" s="5">
        <v>52.555</v>
      </c>
      <c r="J3" s="5">
        <f>+V3-I3-H3-G3</f>
        <v>59.400000000000006</v>
      </c>
      <c r="K3" s="5">
        <v>52.85</v>
      </c>
      <c r="L3" s="5">
        <v>81.647000000000006</v>
      </c>
      <c r="M3" s="5">
        <f>+I3*1.5</f>
        <v>78.832499999999996</v>
      </c>
      <c r="N3" s="5">
        <f>+J3*1.5</f>
        <v>89.100000000000009</v>
      </c>
      <c r="U3" s="3">
        <v>112.117</v>
      </c>
      <c r="V3" s="3">
        <v>198.08500000000001</v>
      </c>
      <c r="W3" s="3">
        <f t="shared" ref="W3:W8" si="1">SUM(K3:N3)</f>
        <v>302.42950000000002</v>
      </c>
      <c r="X3" s="3">
        <f>+W3*1.3</f>
        <v>393.15835000000004</v>
      </c>
      <c r="Y3" s="3">
        <f>+X3*1.3</f>
        <v>511.10585500000008</v>
      </c>
      <c r="Z3" s="3">
        <f>+Y3*1.2</f>
        <v>613.32702600000005</v>
      </c>
      <c r="AA3" s="3">
        <f>+Z3*1.2</f>
        <v>735.99243120000006</v>
      </c>
      <c r="AB3" s="3">
        <f>+AA3*1.1</f>
        <v>809.59167432000015</v>
      </c>
      <c r="AC3" s="3">
        <f>+AB3*1.05</f>
        <v>850.07125803600024</v>
      </c>
      <c r="AD3" s="3">
        <f>+AC3*1.05</f>
        <v>892.57482093780027</v>
      </c>
      <c r="AE3" s="3">
        <f>+AD3*1.05</f>
        <v>937.20356198469028</v>
      </c>
      <c r="AF3" s="3">
        <f>+AE3*1.05</f>
        <v>984.06374008392481</v>
      </c>
      <c r="AG3" s="3">
        <f>+AF3*1.05</f>
        <v>1033.2669270881211</v>
      </c>
    </row>
    <row r="4" spans="1:33" s="3" customFormat="1" x14ac:dyDescent="0.2">
      <c r="B4" s="3" t="s">
        <v>32</v>
      </c>
      <c r="C4" s="5"/>
      <c r="D4" s="5"/>
      <c r="E4" s="5">
        <v>0</v>
      </c>
      <c r="F4" s="5">
        <v>0</v>
      </c>
      <c r="G4" s="5">
        <v>0</v>
      </c>
      <c r="H4" s="5">
        <v>0</v>
      </c>
      <c r="I4" s="5">
        <v>3.871</v>
      </c>
      <c r="J4" s="5">
        <f>+V4-I4-H4-G4</f>
        <v>27.643000000000001</v>
      </c>
      <c r="K4" s="5">
        <v>16.109000000000002</v>
      </c>
      <c r="L4" s="5">
        <v>22.315999999999999</v>
      </c>
      <c r="M4" s="5">
        <f t="shared" ref="M4:N7" si="2">+L4</f>
        <v>22.315999999999999</v>
      </c>
      <c r="N4" s="5">
        <f t="shared" si="2"/>
        <v>22.315999999999999</v>
      </c>
      <c r="U4" s="3">
        <v>0</v>
      </c>
      <c r="V4" s="3">
        <v>31.513999999999999</v>
      </c>
      <c r="W4" s="3">
        <f t="shared" si="1"/>
        <v>83.057000000000002</v>
      </c>
      <c r="X4" s="3">
        <f>+W4*0.99</f>
        <v>82.226430000000008</v>
      </c>
      <c r="Y4" s="3">
        <f t="shared" ref="Y4:AG4" si="3">+X4*0.99</f>
        <v>81.404165700000007</v>
      </c>
      <c r="Z4" s="3">
        <f t="shared" si="3"/>
        <v>80.590124043000003</v>
      </c>
      <c r="AA4" s="3">
        <f t="shared" si="3"/>
        <v>79.78422280257</v>
      </c>
      <c r="AB4" s="3">
        <f t="shared" si="3"/>
        <v>78.986380574544299</v>
      </c>
      <c r="AC4" s="3">
        <f t="shared" si="3"/>
        <v>78.196516768798858</v>
      </c>
      <c r="AD4" s="3">
        <f t="shared" si="3"/>
        <v>77.414551601110873</v>
      </c>
      <c r="AE4" s="3">
        <f t="shared" si="3"/>
        <v>76.640406085099769</v>
      </c>
      <c r="AF4" s="3">
        <f t="shared" si="3"/>
        <v>75.874002024248767</v>
      </c>
      <c r="AG4" s="3">
        <f t="shared" si="3"/>
        <v>75.115262004006283</v>
      </c>
    </row>
    <row r="5" spans="1:33" s="3" customFormat="1" x14ac:dyDescent="0.2">
      <c r="B5" s="3" t="s">
        <v>33</v>
      </c>
      <c r="C5" s="5"/>
      <c r="D5" s="5">
        <v>28.925999999999998</v>
      </c>
      <c r="E5" s="5">
        <v>31.501999999999999</v>
      </c>
      <c r="F5" s="5"/>
      <c r="G5" s="5">
        <v>25.678999999999998</v>
      </c>
      <c r="H5" s="5">
        <v>10.026999999999999</v>
      </c>
      <c r="I5" s="5">
        <v>13.683</v>
      </c>
      <c r="J5" s="5">
        <f>+V5-I5-H5-G5</f>
        <v>15.353999999999996</v>
      </c>
      <c r="K5" s="5">
        <v>25.123000000000001</v>
      </c>
      <c r="L5" s="5">
        <v>13.195</v>
      </c>
      <c r="M5" s="5">
        <f t="shared" si="2"/>
        <v>13.195</v>
      </c>
      <c r="N5" s="5">
        <f t="shared" si="2"/>
        <v>13.195</v>
      </c>
      <c r="U5" s="3">
        <v>85.384</v>
      </c>
      <c r="V5" s="3">
        <v>64.742999999999995</v>
      </c>
      <c r="W5" s="3">
        <f t="shared" si="1"/>
        <v>64.707999999999998</v>
      </c>
      <c r="X5" s="3">
        <f t="shared" ref="X5:AG6" si="4">+W5*0.9</f>
        <v>58.237200000000001</v>
      </c>
      <c r="Y5" s="3">
        <f t="shared" si="4"/>
        <v>52.41348</v>
      </c>
      <c r="Z5" s="3">
        <f t="shared" si="4"/>
        <v>47.172131999999998</v>
      </c>
      <c r="AA5" s="3">
        <f t="shared" si="4"/>
        <v>42.454918800000002</v>
      </c>
      <c r="AB5" s="3">
        <f t="shared" si="4"/>
        <v>38.209426920000006</v>
      </c>
      <c r="AC5" s="3">
        <f t="shared" si="4"/>
        <v>34.388484228000003</v>
      </c>
      <c r="AD5" s="3">
        <f t="shared" si="4"/>
        <v>30.949635805200003</v>
      </c>
      <c r="AE5" s="3">
        <f t="shared" si="4"/>
        <v>27.854672224680005</v>
      </c>
      <c r="AF5" s="3">
        <f t="shared" si="4"/>
        <v>25.069205002212005</v>
      </c>
      <c r="AG5" s="3">
        <f t="shared" si="4"/>
        <v>22.562284501990806</v>
      </c>
    </row>
    <row r="6" spans="1:33" s="3" customFormat="1" x14ac:dyDescent="0.2">
      <c r="B6" s="3" t="s">
        <v>34</v>
      </c>
      <c r="C6" s="5"/>
      <c r="D6" s="5">
        <v>63.317</v>
      </c>
      <c r="E6" s="5">
        <v>70.593000000000004</v>
      </c>
      <c r="F6" s="5"/>
      <c r="G6" s="5">
        <v>70.216999999999999</v>
      </c>
      <c r="H6" s="5">
        <v>73.963999999999999</v>
      </c>
      <c r="I6" s="5">
        <v>78.222999999999999</v>
      </c>
      <c r="J6" s="5">
        <f>+V6-I6-H6-G6</f>
        <v>78.600000000000009</v>
      </c>
      <c r="K6" s="5">
        <v>98.677999999999997</v>
      </c>
      <c r="L6" s="5">
        <v>90.296999999999997</v>
      </c>
      <c r="M6" s="5">
        <f t="shared" si="2"/>
        <v>90.296999999999997</v>
      </c>
      <c r="N6" s="5">
        <f t="shared" si="2"/>
        <v>90.296999999999997</v>
      </c>
      <c r="U6" s="3">
        <v>269.44900000000001</v>
      </c>
      <c r="V6" s="3">
        <v>301.00400000000002</v>
      </c>
      <c r="W6" s="3">
        <f t="shared" si="1"/>
        <v>369.56899999999996</v>
      </c>
      <c r="X6" s="3">
        <f t="shared" si="4"/>
        <v>332.6121</v>
      </c>
      <c r="Y6" s="3">
        <f t="shared" si="4"/>
        <v>299.35088999999999</v>
      </c>
      <c r="Z6" s="3">
        <f t="shared" si="4"/>
        <v>269.41580099999999</v>
      </c>
      <c r="AA6" s="3">
        <f t="shared" si="4"/>
        <v>242.47422090000001</v>
      </c>
      <c r="AB6" s="3">
        <f t="shared" si="4"/>
        <v>218.22679881000002</v>
      </c>
      <c r="AC6" s="3">
        <f t="shared" si="4"/>
        <v>196.40411892900002</v>
      </c>
      <c r="AD6" s="3">
        <f t="shared" si="4"/>
        <v>176.76370703610002</v>
      </c>
      <c r="AE6" s="3">
        <f t="shared" si="4"/>
        <v>159.08733633249003</v>
      </c>
      <c r="AF6" s="3">
        <f t="shared" si="4"/>
        <v>143.17860269924103</v>
      </c>
      <c r="AG6" s="3">
        <f t="shared" si="4"/>
        <v>128.86074242931693</v>
      </c>
    </row>
    <row r="7" spans="1:33" s="3" customFormat="1" x14ac:dyDescent="0.2">
      <c r="B7" s="3" t="s">
        <v>35</v>
      </c>
      <c r="C7" s="5"/>
      <c r="D7" s="5"/>
      <c r="E7" s="5"/>
      <c r="F7" s="5"/>
      <c r="G7" s="5">
        <v>4.5970000000000004</v>
      </c>
      <c r="H7" s="5">
        <v>4.8559999999999999</v>
      </c>
      <c r="I7" s="5"/>
      <c r="J7" s="5">
        <f>+V7-I7-H7-G7</f>
        <v>9.5770000000000017</v>
      </c>
      <c r="K7" s="5">
        <v>4.3620000000000001</v>
      </c>
      <c r="L7" s="5">
        <v>3.9159999999999999</v>
      </c>
      <c r="M7" s="5">
        <f t="shared" si="2"/>
        <v>3.9159999999999999</v>
      </c>
      <c r="N7" s="5">
        <f t="shared" si="2"/>
        <v>3.9159999999999999</v>
      </c>
      <c r="U7" s="3">
        <v>19.866</v>
      </c>
      <c r="V7" s="3">
        <v>19.03</v>
      </c>
      <c r="W7" s="3">
        <f t="shared" si="1"/>
        <v>16.11</v>
      </c>
      <c r="X7" s="3">
        <f>+W7*0.9</f>
        <v>14.499000000000001</v>
      </c>
      <c r="Y7" s="3">
        <f t="shared" ref="Y7:AG7" si="5">+X7*0.9</f>
        <v>13.049100000000001</v>
      </c>
      <c r="Z7" s="3">
        <f t="shared" si="5"/>
        <v>11.744190000000001</v>
      </c>
      <c r="AA7" s="3">
        <f t="shared" si="5"/>
        <v>10.569771000000001</v>
      </c>
      <c r="AB7" s="3">
        <f t="shared" si="5"/>
        <v>9.5127939000000019</v>
      </c>
      <c r="AC7" s="3">
        <f t="shared" si="5"/>
        <v>8.5615145100000021</v>
      </c>
      <c r="AD7" s="3">
        <f t="shared" si="5"/>
        <v>7.7053630590000024</v>
      </c>
      <c r="AE7" s="3">
        <f t="shared" si="5"/>
        <v>6.9348267531000021</v>
      </c>
      <c r="AF7" s="3">
        <f t="shared" si="5"/>
        <v>6.2413440777900018</v>
      </c>
      <c r="AG7" s="3">
        <f t="shared" si="5"/>
        <v>5.6172096700110021</v>
      </c>
    </row>
    <row r="8" spans="1:33" s="6" customFormat="1" x14ac:dyDescent="0.2">
      <c r="B8" s="6" t="s">
        <v>8</v>
      </c>
      <c r="C8" s="7">
        <v>106.786</v>
      </c>
      <c r="D8" s="7">
        <f t="shared" ref="D8:E8" si="6">SUM(D3:D7)</f>
        <v>116.547</v>
      </c>
      <c r="E8" s="7">
        <f t="shared" si="6"/>
        <v>131.82900000000001</v>
      </c>
      <c r="F8" s="7"/>
      <c r="G8" s="7">
        <f>SUM(G3:G7)</f>
        <v>137.43</v>
      </c>
      <c r="H8" s="7">
        <f>SUM(H3:H7)</f>
        <v>138.04</v>
      </c>
      <c r="I8" s="7">
        <f t="shared" ref="I8:N8" si="7">SUM(I3:I7)</f>
        <v>148.33199999999999</v>
      </c>
      <c r="J8" s="7">
        <f t="shared" si="7"/>
        <v>190.57400000000001</v>
      </c>
      <c r="K8" s="7">
        <f t="shared" si="7"/>
        <v>197.12199999999999</v>
      </c>
      <c r="L8" s="7">
        <f t="shared" si="7"/>
        <v>211.37100000000001</v>
      </c>
      <c r="M8" s="7">
        <f t="shared" si="7"/>
        <v>208.5565</v>
      </c>
      <c r="N8" s="7">
        <f t="shared" si="7"/>
        <v>218.82400000000001</v>
      </c>
      <c r="T8" s="6">
        <v>316.38499999999999</v>
      </c>
      <c r="U8" s="6">
        <f>SUM(U3:U7)</f>
        <v>486.81600000000003</v>
      </c>
      <c r="V8" s="6">
        <f>SUM(G8:J8)</f>
        <v>614.37599999999998</v>
      </c>
      <c r="W8" s="6">
        <f t="shared" si="1"/>
        <v>835.87349999999992</v>
      </c>
      <c r="X8" s="6">
        <f>SUM(X3:X7)</f>
        <v>880.73307999999997</v>
      </c>
      <c r="Y8" s="6">
        <f t="shared" ref="Y8:AG8" si="8">SUM(Y3:Y7)</f>
        <v>957.32349070000009</v>
      </c>
      <c r="Z8" s="6">
        <f t="shared" si="8"/>
        <v>1022.249273043</v>
      </c>
      <c r="AA8" s="6">
        <f t="shared" si="8"/>
        <v>1111.2755647025699</v>
      </c>
      <c r="AB8" s="6">
        <f t="shared" si="8"/>
        <v>1154.5270745245446</v>
      </c>
      <c r="AC8" s="6">
        <f t="shared" si="8"/>
        <v>1167.6218924717991</v>
      </c>
      <c r="AD8" s="6">
        <f t="shared" si="8"/>
        <v>1185.4080784392113</v>
      </c>
      <c r="AE8" s="6">
        <f t="shared" si="8"/>
        <v>1207.72080338006</v>
      </c>
      <c r="AF8" s="6">
        <f t="shared" si="8"/>
        <v>1234.4268938874166</v>
      </c>
      <c r="AG8" s="6">
        <f t="shared" si="8"/>
        <v>1265.4224256934463</v>
      </c>
    </row>
    <row r="9" spans="1:33" s="3" customFormat="1" x14ac:dyDescent="0.2">
      <c r="B9" s="3" t="s">
        <v>20</v>
      </c>
      <c r="C9" s="5">
        <v>37.707999999999998</v>
      </c>
      <c r="D9" s="5">
        <v>42.283999999999999</v>
      </c>
      <c r="E9" s="5">
        <v>48.100999999999999</v>
      </c>
      <c r="F9" s="5"/>
      <c r="G9" s="5">
        <v>49.156999999999996</v>
      </c>
      <c r="H9" s="5">
        <v>57.968000000000004</v>
      </c>
      <c r="I9" s="5">
        <v>63.075000000000003</v>
      </c>
      <c r="J9" s="5">
        <f>+V9-I9-H9-G9</f>
        <v>80.009999999999977</v>
      </c>
      <c r="K9" s="5">
        <v>73.037000000000006</v>
      </c>
      <c r="L9" s="5">
        <v>74.614999999999995</v>
      </c>
      <c r="M9" s="5"/>
      <c r="N9" s="5"/>
      <c r="T9" s="3">
        <v>138.785</v>
      </c>
      <c r="U9" s="3">
        <v>181.51300000000001</v>
      </c>
      <c r="V9" s="3">
        <v>250.21</v>
      </c>
      <c r="W9" s="3">
        <f>+W8-W10</f>
        <v>417.93674999999996</v>
      </c>
      <c r="X9" s="3">
        <f t="shared" ref="X9:AG9" si="9">+X8-X10</f>
        <v>352.29323199999999</v>
      </c>
      <c r="Y9" s="3">
        <f t="shared" si="9"/>
        <v>287.19704721000005</v>
      </c>
      <c r="Z9" s="3">
        <f t="shared" si="9"/>
        <v>276.00730372161001</v>
      </c>
      <c r="AA9" s="3">
        <f t="shared" si="9"/>
        <v>277.81889117564242</v>
      </c>
      <c r="AB9" s="3">
        <f t="shared" si="9"/>
        <v>265.54122714064522</v>
      </c>
      <c r="AC9" s="3">
        <f t="shared" si="9"/>
        <v>233.52437849435978</v>
      </c>
      <c r="AD9" s="3">
        <f t="shared" si="9"/>
        <v>237.08161568784226</v>
      </c>
      <c r="AE9" s="3">
        <f t="shared" si="9"/>
        <v>241.54416067601198</v>
      </c>
      <c r="AF9" s="3">
        <f t="shared" si="9"/>
        <v>246.88537877748331</v>
      </c>
      <c r="AG9" s="3">
        <f t="shared" si="9"/>
        <v>253.08448513868916</v>
      </c>
    </row>
    <row r="10" spans="1:33" s="3" customFormat="1" x14ac:dyDescent="0.2">
      <c r="B10" s="3" t="s">
        <v>21</v>
      </c>
      <c r="C10" s="5">
        <f>+C8-C9</f>
        <v>69.078000000000003</v>
      </c>
      <c r="D10" s="5">
        <f>+D8-D9</f>
        <v>74.263000000000005</v>
      </c>
      <c r="E10" s="5">
        <f>+E8-E9</f>
        <v>83.728000000000009</v>
      </c>
      <c r="F10" s="5"/>
      <c r="G10" s="5">
        <f t="shared" ref="G10:K10" si="10">+G8-G9</f>
        <v>88.27300000000001</v>
      </c>
      <c r="H10" s="5">
        <f t="shared" si="10"/>
        <v>80.071999999999989</v>
      </c>
      <c r="I10" s="5">
        <f t="shared" si="10"/>
        <v>85.256999999999991</v>
      </c>
      <c r="J10" s="5">
        <f t="shared" si="10"/>
        <v>110.56400000000004</v>
      </c>
      <c r="K10" s="5">
        <f t="shared" si="10"/>
        <v>124.08499999999998</v>
      </c>
      <c r="L10" s="5">
        <f>+L8-L9</f>
        <v>136.75600000000003</v>
      </c>
      <c r="M10" s="5"/>
      <c r="N10" s="5"/>
      <c r="T10" s="3">
        <f>+T8-T9</f>
        <v>177.6</v>
      </c>
      <c r="U10" s="3">
        <f t="shared" ref="U10:V10" si="11">+U8-U9</f>
        <v>305.303</v>
      </c>
      <c r="V10" s="3">
        <f t="shared" si="11"/>
        <v>364.16599999999994</v>
      </c>
      <c r="W10" s="3">
        <f>+W8*0.5</f>
        <v>417.93674999999996</v>
      </c>
      <c r="X10" s="3">
        <f>+X8*0.6</f>
        <v>528.43984799999998</v>
      </c>
      <c r="Y10" s="3">
        <f>+Y8*0.7</f>
        <v>670.12644349000004</v>
      </c>
      <c r="Z10" s="3">
        <f>+Z8*0.73</f>
        <v>746.24196932139</v>
      </c>
      <c r="AA10" s="3">
        <f>+AA8*0.75</f>
        <v>833.45667352692749</v>
      </c>
      <c r="AB10" s="3">
        <f>+AB8*0.77</f>
        <v>888.98584738389934</v>
      </c>
      <c r="AC10" s="3">
        <f>+AC8*0.8</f>
        <v>934.09751397743935</v>
      </c>
      <c r="AD10" s="3">
        <f>+AD8*0.8</f>
        <v>948.32646275136904</v>
      </c>
      <c r="AE10" s="3">
        <f>+AE8*0.8</f>
        <v>966.17664270404805</v>
      </c>
      <c r="AF10" s="3">
        <f>+AF8*0.8</f>
        <v>987.54151510993324</v>
      </c>
      <c r="AG10" s="3">
        <f>+AG8*0.8</f>
        <v>1012.3379405547571</v>
      </c>
    </row>
    <row r="11" spans="1:33" s="3" customFormat="1" x14ac:dyDescent="0.2">
      <c r="B11" s="3" t="s">
        <v>22</v>
      </c>
      <c r="C11" s="5">
        <v>5.9240000000000004</v>
      </c>
      <c r="D11" s="5">
        <v>7.3739999999999997</v>
      </c>
      <c r="E11" s="5">
        <v>11.121</v>
      </c>
      <c r="F11" s="5"/>
      <c r="G11" s="5">
        <v>10.510999999999999</v>
      </c>
      <c r="H11" s="5">
        <v>7.2960000000000003</v>
      </c>
      <c r="I11" s="5">
        <v>10.128</v>
      </c>
      <c r="J11" s="5">
        <f t="shared" ref="J11:J12" si="12">+V11-I11-H11-G11</f>
        <v>16.646000000000004</v>
      </c>
      <c r="K11" s="5">
        <v>10.564</v>
      </c>
      <c r="L11" s="5">
        <v>16.535</v>
      </c>
      <c r="M11" s="5"/>
      <c r="N11" s="5"/>
      <c r="T11" s="3">
        <v>22.318000000000001</v>
      </c>
      <c r="U11" s="3">
        <v>34.286000000000001</v>
      </c>
      <c r="V11" s="3">
        <v>44.581000000000003</v>
      </c>
    </row>
    <row r="12" spans="1:33" s="3" customFormat="1" x14ac:dyDescent="0.2">
      <c r="B12" s="3" t="s">
        <v>23</v>
      </c>
      <c r="C12" s="5">
        <v>36.468000000000004</v>
      </c>
      <c r="D12" s="5">
        <v>38.76</v>
      </c>
      <c r="E12" s="5">
        <v>42.006999999999998</v>
      </c>
      <c r="F12" s="5"/>
      <c r="G12" s="5">
        <v>48.021000000000001</v>
      </c>
      <c r="H12" s="5">
        <v>52.820999999999998</v>
      </c>
      <c r="I12" s="5">
        <v>79.075000000000003</v>
      </c>
      <c r="J12" s="5">
        <f t="shared" si="12"/>
        <v>69.71899999999998</v>
      </c>
      <c r="K12" s="5">
        <v>76.528000000000006</v>
      </c>
      <c r="L12" s="5">
        <v>81.771000000000001</v>
      </c>
      <c r="M12" s="5"/>
      <c r="N12" s="5"/>
      <c r="T12" s="3">
        <v>124.044</v>
      </c>
      <c r="U12" s="3">
        <v>161.697</v>
      </c>
      <c r="V12" s="3">
        <v>249.636</v>
      </c>
      <c r="W12" s="3">
        <f>+V12*1.05</f>
        <v>262.11779999999999</v>
      </c>
      <c r="X12" s="3">
        <f t="shared" ref="X12:AG12" si="13">+W12*1.05</f>
        <v>275.22368999999998</v>
      </c>
      <c r="Y12" s="3">
        <f t="shared" si="13"/>
        <v>288.98487449999999</v>
      </c>
      <c r="Z12" s="3">
        <f t="shared" si="13"/>
        <v>303.43411822500002</v>
      </c>
      <c r="AA12" s="3">
        <f t="shared" si="13"/>
        <v>318.60582413625002</v>
      </c>
      <c r="AB12" s="3">
        <f t="shared" si="13"/>
        <v>334.53611534306253</v>
      </c>
      <c r="AC12" s="3">
        <f t="shared" si="13"/>
        <v>351.2629211102157</v>
      </c>
      <c r="AD12" s="3">
        <f t="shared" si="13"/>
        <v>368.8260671657265</v>
      </c>
      <c r="AE12" s="3">
        <f t="shared" si="13"/>
        <v>387.26737052401285</v>
      </c>
      <c r="AF12" s="3">
        <f t="shared" si="13"/>
        <v>406.63073905021349</v>
      </c>
      <c r="AG12" s="3">
        <f t="shared" si="13"/>
        <v>426.9622760027242</v>
      </c>
    </row>
    <row r="13" spans="1:33" s="3" customFormat="1" x14ac:dyDescent="0.2">
      <c r="B13" s="3" t="s">
        <v>24</v>
      </c>
      <c r="C13" s="5">
        <f t="shared" ref="C13:E13" si="14">+C11+C12</f>
        <v>42.392000000000003</v>
      </c>
      <c r="D13" s="5">
        <f t="shared" si="14"/>
        <v>46.134</v>
      </c>
      <c r="E13" s="5">
        <f t="shared" si="14"/>
        <v>53.128</v>
      </c>
      <c r="F13" s="5">
        <f t="shared" ref="F13" si="15">+F11+F12</f>
        <v>0</v>
      </c>
      <c r="G13" s="5">
        <f t="shared" ref="G13:K13" si="16">+G11+G12</f>
        <v>58.531999999999996</v>
      </c>
      <c r="H13" s="5">
        <f t="shared" si="16"/>
        <v>60.116999999999997</v>
      </c>
      <c r="I13" s="5">
        <f t="shared" si="16"/>
        <v>89.203000000000003</v>
      </c>
      <c r="J13" s="5">
        <f t="shared" si="16"/>
        <v>86.364999999999981</v>
      </c>
      <c r="K13" s="5">
        <f t="shared" si="16"/>
        <v>87.092000000000013</v>
      </c>
      <c r="L13" s="5">
        <f>+L11+L12</f>
        <v>98.305999999999997</v>
      </c>
      <c r="M13" s="5"/>
      <c r="N13" s="5"/>
      <c r="T13" s="3">
        <f t="shared" ref="T13:U13" si="17">T12+T11</f>
        <v>146.36199999999999</v>
      </c>
      <c r="U13" s="3">
        <f t="shared" si="17"/>
        <v>195.983</v>
      </c>
      <c r="V13" s="3">
        <f>V12+V11</f>
        <v>294.21699999999998</v>
      </c>
      <c r="W13" s="3">
        <f t="shared" ref="W13:AG13" si="18">W12+W11</f>
        <v>262.11779999999999</v>
      </c>
      <c r="X13" s="3">
        <f t="shared" si="18"/>
        <v>275.22368999999998</v>
      </c>
      <c r="Y13" s="3">
        <f t="shared" si="18"/>
        <v>288.98487449999999</v>
      </c>
      <c r="Z13" s="3">
        <f t="shared" si="18"/>
        <v>303.43411822500002</v>
      </c>
      <c r="AA13" s="3">
        <f t="shared" si="18"/>
        <v>318.60582413625002</v>
      </c>
      <c r="AB13" s="3">
        <f t="shared" si="18"/>
        <v>334.53611534306253</v>
      </c>
      <c r="AC13" s="3">
        <f t="shared" si="18"/>
        <v>351.2629211102157</v>
      </c>
      <c r="AD13" s="3">
        <f t="shared" si="18"/>
        <v>368.8260671657265</v>
      </c>
      <c r="AE13" s="3">
        <f t="shared" si="18"/>
        <v>387.26737052401285</v>
      </c>
      <c r="AF13" s="3">
        <f t="shared" si="18"/>
        <v>406.63073905021349</v>
      </c>
      <c r="AG13" s="3">
        <f t="shared" si="18"/>
        <v>426.9622760027242</v>
      </c>
    </row>
    <row r="14" spans="1:33" s="3" customFormat="1" x14ac:dyDescent="0.2">
      <c r="B14" s="3" t="s">
        <v>25</v>
      </c>
      <c r="C14" s="5">
        <f t="shared" ref="C14:E14" si="19">+C10-C13</f>
        <v>26.686</v>
      </c>
      <c r="D14" s="5">
        <f t="shared" si="19"/>
        <v>28.129000000000005</v>
      </c>
      <c r="E14" s="5">
        <f t="shared" si="19"/>
        <v>30.600000000000009</v>
      </c>
      <c r="F14" s="5">
        <f t="shared" ref="F14" si="20">+F10-F13</f>
        <v>0</v>
      </c>
      <c r="G14" s="5">
        <f t="shared" ref="G14:K14" si="21">+G10-G13</f>
        <v>29.741000000000014</v>
      </c>
      <c r="H14" s="5">
        <f t="shared" si="21"/>
        <v>19.954999999999991</v>
      </c>
      <c r="I14" s="5">
        <f t="shared" si="21"/>
        <v>-3.9460000000000122</v>
      </c>
      <c r="J14" s="5">
        <f t="shared" si="21"/>
        <v>24.199000000000055</v>
      </c>
      <c r="K14" s="5">
        <f t="shared" si="21"/>
        <v>36.992999999999967</v>
      </c>
      <c r="L14" s="5">
        <f>+L10-L13</f>
        <v>38.450000000000031</v>
      </c>
      <c r="M14" s="5"/>
      <c r="N14" s="5"/>
      <c r="T14" s="3">
        <f t="shared" ref="T14:U14" si="22">+T10-T13</f>
        <v>31.238</v>
      </c>
      <c r="U14" s="3">
        <f t="shared" si="22"/>
        <v>109.32</v>
      </c>
      <c r="V14" s="3">
        <f>+V10-V13</f>
        <v>69.948999999999955</v>
      </c>
      <c r="W14" s="3">
        <f t="shared" ref="W14:AG14" si="23">+W10-W13</f>
        <v>155.81894999999997</v>
      </c>
      <c r="X14" s="3">
        <f t="shared" si="23"/>
        <v>253.21615800000001</v>
      </c>
      <c r="Y14" s="3">
        <f t="shared" si="23"/>
        <v>381.14156899000005</v>
      </c>
      <c r="Z14" s="3">
        <f t="shared" si="23"/>
        <v>442.80785109638998</v>
      </c>
      <c r="AA14" s="3">
        <f t="shared" si="23"/>
        <v>514.85084939067747</v>
      </c>
      <c r="AB14" s="3">
        <f t="shared" si="23"/>
        <v>554.44973204083681</v>
      </c>
      <c r="AC14" s="3">
        <f t="shared" si="23"/>
        <v>582.83459286722359</v>
      </c>
      <c r="AD14" s="3">
        <f t="shared" si="23"/>
        <v>579.50039558564254</v>
      </c>
      <c r="AE14" s="3">
        <f t="shared" si="23"/>
        <v>578.90927218003526</v>
      </c>
      <c r="AF14" s="3">
        <f t="shared" si="23"/>
        <v>580.91077605971975</v>
      </c>
      <c r="AG14" s="3">
        <f t="shared" si="23"/>
        <v>585.37566455203296</v>
      </c>
    </row>
    <row r="15" spans="1:33" s="3" customFormat="1" x14ac:dyDescent="0.2">
      <c r="B15" s="3" t="s">
        <v>36</v>
      </c>
      <c r="C15" s="5">
        <v>-7.6959999999999997</v>
      </c>
      <c r="D15" s="5">
        <v>-7.1</v>
      </c>
      <c r="E15" s="5">
        <v>-6.3979999999999997</v>
      </c>
      <c r="F15" s="5"/>
      <c r="G15" s="5">
        <v>-4.5999999999999996</v>
      </c>
      <c r="H15" s="5">
        <f>-4.656-0.088</f>
        <v>-4.7439999999999998</v>
      </c>
      <c r="I15" s="5">
        <v>-2.331</v>
      </c>
      <c r="J15" s="5">
        <f>+V15-I15-H15-G15</f>
        <v>-5.9270000000000014</v>
      </c>
      <c r="K15" s="5">
        <f>-5.484+0.198</f>
        <v>-5.2859999999999996</v>
      </c>
      <c r="L15" s="5">
        <f>-5.438+1.739</f>
        <v>-3.6989999999999998</v>
      </c>
      <c r="M15" s="5"/>
      <c r="N15" s="5"/>
      <c r="T15" s="3">
        <v>-28.052</v>
      </c>
      <c r="U15" s="3">
        <v>-26.94</v>
      </c>
      <c r="V15" s="3">
        <v>-17.602</v>
      </c>
    </row>
    <row r="16" spans="1:33" s="3" customFormat="1" x14ac:dyDescent="0.2">
      <c r="B16" s="3" t="s">
        <v>29</v>
      </c>
      <c r="C16" s="5">
        <f t="shared" ref="C16:F16" si="24">+C14+C15</f>
        <v>18.990000000000002</v>
      </c>
      <c r="D16" s="5">
        <f t="shared" si="24"/>
        <v>21.029000000000003</v>
      </c>
      <c r="E16" s="5">
        <f t="shared" si="24"/>
        <v>24.202000000000009</v>
      </c>
      <c r="F16" s="5">
        <f t="shared" si="24"/>
        <v>0</v>
      </c>
      <c r="G16" s="5">
        <f>+G14+G15</f>
        <v>25.141000000000012</v>
      </c>
      <c r="H16" s="5">
        <f>+H14+H15</f>
        <v>15.210999999999991</v>
      </c>
      <c r="I16" s="5">
        <f t="shared" ref="I16:L16" si="25">+I14+I15</f>
        <v>-6.2770000000000117</v>
      </c>
      <c r="J16" s="5">
        <f t="shared" si="25"/>
        <v>18.272000000000055</v>
      </c>
      <c r="K16" s="5">
        <f t="shared" si="25"/>
        <v>31.706999999999965</v>
      </c>
      <c r="L16" s="5">
        <f t="shared" si="25"/>
        <v>34.751000000000033</v>
      </c>
      <c r="M16" s="5"/>
      <c r="N16" s="5"/>
      <c r="T16" s="3">
        <f>+T14+T15</f>
        <v>3.1859999999999999</v>
      </c>
      <c r="U16" s="3">
        <f>+U14+U15</f>
        <v>82.38</v>
      </c>
      <c r="V16" s="3">
        <f>+V14+V15</f>
        <v>52.346999999999952</v>
      </c>
      <c r="W16" s="3">
        <f t="shared" ref="W16:AG16" si="26">+W14+W15</f>
        <v>155.81894999999997</v>
      </c>
      <c r="X16" s="3">
        <f t="shared" si="26"/>
        <v>253.21615800000001</v>
      </c>
      <c r="Y16" s="3">
        <f t="shared" si="26"/>
        <v>381.14156899000005</v>
      </c>
      <c r="Z16" s="3">
        <f t="shared" si="26"/>
        <v>442.80785109638998</v>
      </c>
      <c r="AA16" s="3">
        <f t="shared" si="26"/>
        <v>514.85084939067747</v>
      </c>
      <c r="AB16" s="3">
        <f t="shared" si="26"/>
        <v>554.44973204083681</v>
      </c>
      <c r="AC16" s="3">
        <f t="shared" si="26"/>
        <v>582.83459286722359</v>
      </c>
      <c r="AD16" s="3">
        <f t="shared" si="26"/>
        <v>579.50039558564254</v>
      </c>
      <c r="AE16" s="3">
        <f t="shared" si="26"/>
        <v>578.90927218003526</v>
      </c>
      <c r="AF16" s="3">
        <f t="shared" si="26"/>
        <v>580.91077605971975</v>
      </c>
      <c r="AG16" s="3">
        <f t="shared" si="26"/>
        <v>585.37566455203296</v>
      </c>
    </row>
    <row r="17" spans="2:131" s="3" customFormat="1" x14ac:dyDescent="0.2">
      <c r="B17" s="3" t="s">
        <v>28</v>
      </c>
      <c r="C17" s="5">
        <v>0.72599999999999998</v>
      </c>
      <c r="D17" s="5">
        <v>0</v>
      </c>
      <c r="E17" s="5">
        <v>1.571</v>
      </c>
      <c r="F17" s="5"/>
      <c r="G17" s="5">
        <v>7.1280000000000001</v>
      </c>
      <c r="H17" s="5">
        <v>0</v>
      </c>
      <c r="I17" s="5">
        <v>0</v>
      </c>
      <c r="J17" s="5">
        <f>+V17-I17-H17-G17</f>
        <v>-7.1280000000000001</v>
      </c>
      <c r="K17" s="5">
        <v>4.306</v>
      </c>
      <c r="L17" s="5">
        <v>1.976</v>
      </c>
      <c r="M17" s="5"/>
      <c r="N17" s="5"/>
      <c r="T17" s="3">
        <v>0</v>
      </c>
      <c r="U17" s="3">
        <v>1.093</v>
      </c>
      <c r="V17" s="3">
        <v>0</v>
      </c>
      <c r="X17" s="3">
        <f>+X16*0.25</f>
        <v>63.304039500000002</v>
      </c>
      <c r="Y17" s="3">
        <f t="shared" ref="Y17:AG17" si="27">+Y16*0.25</f>
        <v>95.285392247500013</v>
      </c>
      <c r="Z17" s="3">
        <f t="shared" si="27"/>
        <v>110.7019627740975</v>
      </c>
      <c r="AA17" s="3">
        <f t="shared" si="27"/>
        <v>128.71271234766937</v>
      </c>
      <c r="AB17" s="3">
        <f t="shared" si="27"/>
        <v>138.6124330102092</v>
      </c>
      <c r="AC17" s="3">
        <f t="shared" si="27"/>
        <v>145.7086482168059</v>
      </c>
      <c r="AD17" s="3">
        <f t="shared" si="27"/>
        <v>144.87509889641063</v>
      </c>
      <c r="AE17" s="3">
        <f t="shared" si="27"/>
        <v>144.72731804500881</v>
      </c>
      <c r="AF17" s="3">
        <f t="shared" si="27"/>
        <v>145.22769401492994</v>
      </c>
      <c r="AG17" s="3">
        <f t="shared" si="27"/>
        <v>146.34391613800824</v>
      </c>
    </row>
    <row r="18" spans="2:131" s="3" customFormat="1" x14ac:dyDescent="0.2">
      <c r="B18" s="3" t="s">
        <v>27</v>
      </c>
      <c r="C18" s="5">
        <f t="shared" ref="C18:E18" si="28">+C16-C17</f>
        <v>18.264000000000003</v>
      </c>
      <c r="D18" s="5">
        <f t="shared" si="28"/>
        <v>21.029000000000003</v>
      </c>
      <c r="E18" s="5">
        <f t="shared" si="28"/>
        <v>22.631000000000007</v>
      </c>
      <c r="F18" s="5">
        <f t="shared" ref="F18" si="29">+F16-F17</f>
        <v>0</v>
      </c>
      <c r="G18" s="5">
        <f t="shared" ref="G18:K18" si="30">+G16-G17</f>
        <v>18.013000000000012</v>
      </c>
      <c r="H18" s="5">
        <f t="shared" si="30"/>
        <v>15.210999999999991</v>
      </c>
      <c r="I18" s="5">
        <f t="shared" si="30"/>
        <v>-6.2770000000000117</v>
      </c>
      <c r="J18" s="5">
        <f t="shared" si="30"/>
        <v>25.400000000000055</v>
      </c>
      <c r="K18" s="5">
        <f t="shared" si="30"/>
        <v>27.400999999999964</v>
      </c>
      <c r="L18" s="5">
        <f>+L16-L17</f>
        <v>32.775000000000034</v>
      </c>
      <c r="M18" s="5"/>
      <c r="N18" s="5"/>
      <c r="T18" s="3">
        <f>+T16-T17</f>
        <v>3.1859999999999999</v>
      </c>
      <c r="U18" s="3">
        <f>+U16-U17</f>
        <v>81.286999999999992</v>
      </c>
      <c r="V18" s="3">
        <f>+V16-V17</f>
        <v>52.346999999999952</v>
      </c>
      <c r="W18" s="3">
        <f t="shared" ref="W18:AG18" si="31">+W16-W17</f>
        <v>155.81894999999997</v>
      </c>
      <c r="X18" s="3">
        <f t="shared" si="31"/>
        <v>189.91211850000002</v>
      </c>
      <c r="Y18" s="3">
        <f t="shared" si="31"/>
        <v>285.85617674250005</v>
      </c>
      <c r="Z18" s="3">
        <f t="shared" si="31"/>
        <v>332.10588832229246</v>
      </c>
      <c r="AA18" s="3">
        <f t="shared" si="31"/>
        <v>386.1381370430081</v>
      </c>
      <c r="AB18" s="3">
        <f t="shared" si="31"/>
        <v>415.83729903062761</v>
      </c>
      <c r="AC18" s="3">
        <f t="shared" si="31"/>
        <v>437.12594465041769</v>
      </c>
      <c r="AD18" s="3">
        <f t="shared" si="31"/>
        <v>434.6252966892319</v>
      </c>
      <c r="AE18" s="3">
        <f t="shared" si="31"/>
        <v>434.18195413502644</v>
      </c>
      <c r="AF18" s="3">
        <f t="shared" si="31"/>
        <v>435.68308204478978</v>
      </c>
      <c r="AG18" s="3">
        <f t="shared" si="31"/>
        <v>439.03174841402472</v>
      </c>
      <c r="AH18" s="3">
        <f>AG18*(1+$AJ$25)</f>
        <v>417.08016099332349</v>
      </c>
      <c r="AI18" s="3">
        <f t="shared" ref="AI18:CT18" si="32">AH18*(1+$AJ$25)</f>
        <v>396.22615294365727</v>
      </c>
      <c r="AJ18" s="3">
        <f t="shared" si="32"/>
        <v>376.41484529647437</v>
      </c>
      <c r="AK18" s="3">
        <f t="shared" si="32"/>
        <v>357.59410303165066</v>
      </c>
      <c r="AL18" s="3">
        <f t="shared" si="32"/>
        <v>339.71439788006813</v>
      </c>
      <c r="AM18" s="3">
        <f t="shared" si="32"/>
        <v>322.72867798606472</v>
      </c>
      <c r="AN18" s="3">
        <f t="shared" si="32"/>
        <v>306.59224408676147</v>
      </c>
      <c r="AO18" s="3">
        <f t="shared" si="32"/>
        <v>291.26263188242336</v>
      </c>
      <c r="AP18" s="3">
        <f t="shared" si="32"/>
        <v>276.6995002883022</v>
      </c>
      <c r="AQ18" s="3">
        <f t="shared" si="32"/>
        <v>262.86452527388707</v>
      </c>
      <c r="AR18" s="3">
        <f t="shared" si="32"/>
        <v>249.72129901019269</v>
      </c>
      <c r="AS18" s="3">
        <f t="shared" si="32"/>
        <v>237.23523405968305</v>
      </c>
      <c r="AT18" s="3">
        <f t="shared" si="32"/>
        <v>225.3734723566989</v>
      </c>
      <c r="AU18" s="3">
        <f t="shared" si="32"/>
        <v>214.10479873886393</v>
      </c>
      <c r="AV18" s="3">
        <f t="shared" si="32"/>
        <v>203.39955880192073</v>
      </c>
      <c r="AW18" s="3">
        <f t="shared" si="32"/>
        <v>193.2295808618247</v>
      </c>
      <c r="AX18" s="3">
        <f t="shared" si="32"/>
        <v>183.56810181873345</v>
      </c>
      <c r="AY18" s="3">
        <f t="shared" si="32"/>
        <v>174.38969672779677</v>
      </c>
      <c r="AZ18" s="3">
        <f t="shared" si="32"/>
        <v>165.67021189140692</v>
      </c>
      <c r="BA18" s="3">
        <f t="shared" si="32"/>
        <v>157.38670129683658</v>
      </c>
      <c r="BB18" s="3">
        <f t="shared" si="32"/>
        <v>149.51736623199474</v>
      </c>
      <c r="BC18" s="3">
        <f t="shared" si="32"/>
        <v>142.04149792039499</v>
      </c>
      <c r="BD18" s="3">
        <f t="shared" si="32"/>
        <v>134.93942302437523</v>
      </c>
      <c r="BE18" s="3">
        <f t="shared" si="32"/>
        <v>128.19245187315647</v>
      </c>
      <c r="BF18" s="3">
        <f t="shared" si="32"/>
        <v>121.78282927949864</v>
      </c>
      <c r="BG18" s="3">
        <f t="shared" si="32"/>
        <v>115.6936878155237</v>
      </c>
      <c r="BH18" s="3">
        <f t="shared" si="32"/>
        <v>109.90900342474751</v>
      </c>
      <c r="BI18" s="3">
        <f t="shared" si="32"/>
        <v>104.41355325351013</v>
      </c>
      <c r="BJ18" s="3">
        <f t="shared" si="32"/>
        <v>99.192875590834618</v>
      </c>
      <c r="BK18" s="3">
        <f t="shared" si="32"/>
        <v>94.233231811292882</v>
      </c>
      <c r="BL18" s="3">
        <f t="shared" si="32"/>
        <v>89.521570220728236</v>
      </c>
      <c r="BM18" s="3">
        <f t="shared" si="32"/>
        <v>85.045491709691817</v>
      </c>
      <c r="BN18" s="3">
        <f t="shared" si="32"/>
        <v>80.793217124207217</v>
      </c>
      <c r="BO18" s="3">
        <f t="shared" si="32"/>
        <v>76.753556267996856</v>
      </c>
      <c r="BP18" s="3">
        <f t="shared" si="32"/>
        <v>72.915878454597006</v>
      </c>
      <c r="BQ18" s="3">
        <f t="shared" si="32"/>
        <v>69.270084531867155</v>
      </c>
      <c r="BR18" s="3">
        <f t="shared" si="32"/>
        <v>65.806580305273798</v>
      </c>
      <c r="BS18" s="3">
        <f t="shared" si="32"/>
        <v>62.516251290010104</v>
      </c>
      <c r="BT18" s="3">
        <f t="shared" si="32"/>
        <v>59.390438725509597</v>
      </c>
      <c r="BU18" s="3">
        <f t="shared" si="32"/>
        <v>56.420916789234113</v>
      </c>
      <c r="BV18" s="3">
        <f t="shared" si="32"/>
        <v>53.599870949772402</v>
      </c>
      <c r="BW18" s="3">
        <f t="shared" si="32"/>
        <v>50.919877402283781</v>
      </c>
      <c r="BX18" s="3">
        <f t="shared" si="32"/>
        <v>48.373883532169593</v>
      </c>
      <c r="BY18" s="3">
        <f t="shared" si="32"/>
        <v>45.95518935556111</v>
      </c>
      <c r="BZ18" s="3">
        <f t="shared" si="32"/>
        <v>43.657429887783053</v>
      </c>
      <c r="CA18" s="3">
        <f t="shared" si="32"/>
        <v>41.474558393393899</v>
      </c>
      <c r="CB18" s="3">
        <f t="shared" si="32"/>
        <v>39.400830473724199</v>
      </c>
      <c r="CC18" s="3">
        <f t="shared" si="32"/>
        <v>37.430788950037986</v>
      </c>
      <c r="CD18" s="3">
        <f t="shared" si="32"/>
        <v>35.559249502536083</v>
      </c>
      <c r="CE18" s="3">
        <f t="shared" si="32"/>
        <v>33.781287027409277</v>
      </c>
      <c r="CF18" s="3">
        <f t="shared" si="32"/>
        <v>32.092222676038809</v>
      </c>
      <c r="CG18" s="3">
        <f t="shared" si="32"/>
        <v>30.487611542236866</v>
      </c>
      <c r="CH18" s="3">
        <f t="shared" si="32"/>
        <v>28.963230965125021</v>
      </c>
      <c r="CI18" s="3">
        <f t="shared" si="32"/>
        <v>27.515069416868769</v>
      </c>
      <c r="CJ18" s="3">
        <f t="shared" si="32"/>
        <v>26.139315946025331</v>
      </c>
      <c r="CK18" s="3">
        <f t="shared" si="32"/>
        <v>24.832350148724064</v>
      </c>
      <c r="CL18" s="3">
        <f t="shared" si="32"/>
        <v>23.590732641287861</v>
      </c>
      <c r="CM18" s="3">
        <f t="shared" si="32"/>
        <v>22.411196009223467</v>
      </c>
      <c r="CN18" s="3">
        <f t="shared" si="32"/>
        <v>21.290636208762294</v>
      </c>
      <c r="CO18" s="3">
        <f t="shared" si="32"/>
        <v>20.226104398324178</v>
      </c>
      <c r="CP18" s="3">
        <f t="shared" si="32"/>
        <v>19.214799178407969</v>
      </c>
      <c r="CQ18" s="3">
        <f t="shared" si="32"/>
        <v>18.254059219487569</v>
      </c>
      <c r="CR18" s="3">
        <f t="shared" si="32"/>
        <v>17.341356258513191</v>
      </c>
      <c r="CS18" s="3">
        <f t="shared" si="32"/>
        <v>16.474288445587529</v>
      </c>
      <c r="CT18" s="3">
        <f t="shared" si="32"/>
        <v>15.650574023308153</v>
      </c>
      <c r="CU18" s="3">
        <f t="shared" ref="CU18:EA18" si="33">CT18*(1+$AJ$25)</f>
        <v>14.868045322142745</v>
      </c>
      <c r="CV18" s="3">
        <f t="shared" si="33"/>
        <v>14.124643056035607</v>
      </c>
      <c r="CW18" s="3">
        <f t="shared" si="33"/>
        <v>13.418410903233825</v>
      </c>
      <c r="CX18" s="3">
        <f t="shared" si="33"/>
        <v>12.747490358072133</v>
      </c>
      <c r="CY18" s="3">
        <f t="shared" si="33"/>
        <v>12.110115840168525</v>
      </c>
      <c r="CZ18" s="3">
        <f t="shared" si="33"/>
        <v>11.504610048160098</v>
      </c>
      <c r="DA18" s="3">
        <f t="shared" si="33"/>
        <v>10.929379545752091</v>
      </c>
      <c r="DB18" s="3">
        <f t="shared" si="33"/>
        <v>10.382910568464487</v>
      </c>
      <c r="DC18" s="3">
        <f t="shared" si="33"/>
        <v>9.8637650400412618</v>
      </c>
      <c r="DD18" s="3">
        <f t="shared" si="33"/>
        <v>9.3705767880391981</v>
      </c>
      <c r="DE18" s="3">
        <f t="shared" si="33"/>
        <v>8.9020479486372377</v>
      </c>
      <c r="DF18" s="3">
        <f t="shared" si="33"/>
        <v>8.4569455512053757</v>
      </c>
      <c r="DG18" s="3">
        <f t="shared" si="33"/>
        <v>8.0340982736451068</v>
      </c>
      <c r="DH18" s="3">
        <f t="shared" si="33"/>
        <v>7.6323933599628511</v>
      </c>
      <c r="DI18" s="3">
        <f t="shared" si="33"/>
        <v>7.2507736919647083</v>
      </c>
      <c r="DJ18" s="3">
        <f t="shared" si="33"/>
        <v>6.8882350073664727</v>
      </c>
      <c r="DK18" s="3">
        <f t="shared" si="33"/>
        <v>6.5438232569981487</v>
      </c>
      <c r="DL18" s="3">
        <f t="shared" si="33"/>
        <v>6.2166320941482409</v>
      </c>
      <c r="DM18" s="3">
        <f t="shared" si="33"/>
        <v>5.9058004894408285</v>
      </c>
      <c r="DN18" s="3">
        <f t="shared" si="33"/>
        <v>5.6105104649687867</v>
      </c>
      <c r="DO18" s="3">
        <f t="shared" si="33"/>
        <v>5.3299849417203475</v>
      </c>
      <c r="DP18" s="3">
        <f t="shared" si="33"/>
        <v>5.0634856946343296</v>
      </c>
      <c r="DQ18" s="3">
        <f t="shared" si="33"/>
        <v>4.8103114099026127</v>
      </c>
      <c r="DR18" s="3">
        <f t="shared" si="33"/>
        <v>4.5697958394074822</v>
      </c>
      <c r="DS18" s="3">
        <f t="shared" si="33"/>
        <v>4.3413060474371079</v>
      </c>
      <c r="DT18" s="3">
        <f t="shared" si="33"/>
        <v>4.1242407450652525</v>
      </c>
      <c r="DU18" s="3">
        <f t="shared" si="33"/>
        <v>3.9180287078119895</v>
      </c>
      <c r="DV18" s="3">
        <f t="shared" si="33"/>
        <v>3.7221272724213899</v>
      </c>
      <c r="DW18" s="3">
        <f t="shared" si="33"/>
        <v>3.5360209088003201</v>
      </c>
      <c r="DX18" s="3">
        <f t="shared" si="33"/>
        <v>3.3592198633603041</v>
      </c>
      <c r="DY18" s="3">
        <f t="shared" si="33"/>
        <v>3.1912588701922888</v>
      </c>
      <c r="DZ18" s="3">
        <f t="shared" si="33"/>
        <v>3.0316959266826742</v>
      </c>
      <c r="EA18" s="3">
        <f t="shared" si="33"/>
        <v>2.8801111303485403</v>
      </c>
    </row>
    <row r="19" spans="2:131" x14ac:dyDescent="0.2">
      <c r="B19" s="1" t="s">
        <v>26</v>
      </c>
      <c r="C19" s="8">
        <f t="shared" ref="C19:F19" si="34">+C18/C20</f>
        <v>1.1048333434154016</v>
      </c>
      <c r="D19" s="8">
        <f t="shared" si="34"/>
        <v>1.1777653318398209</v>
      </c>
      <c r="E19" s="8">
        <f t="shared" si="34"/>
        <v>1.1833202614379088</v>
      </c>
      <c r="F19" s="8" t="e">
        <f t="shared" si="34"/>
        <v>#DIV/0!</v>
      </c>
      <c r="G19" s="8">
        <f>+G18/G20</f>
        <v>0.92745340335701842</v>
      </c>
      <c r="H19" s="8">
        <f>+H18/H20</f>
        <v>0.78727809119610737</v>
      </c>
      <c r="I19" s="8">
        <f>+I18/I20</f>
        <v>-0.32349000206143125</v>
      </c>
      <c r="J19" s="8">
        <f t="shared" ref="J19:K19" si="35">+J18/J20</f>
        <v>1.3148359043379259</v>
      </c>
      <c r="K19" s="8">
        <f t="shared" si="35"/>
        <v>1.3669061159333515</v>
      </c>
      <c r="L19" s="8">
        <f>+L18/L20</f>
        <v>1.6138960015757353</v>
      </c>
      <c r="T19" s="2">
        <f>+T18/T20</f>
        <v>0.19594095940959408</v>
      </c>
      <c r="U19" s="2">
        <f>+U18/U20</f>
        <v>4.4677915796416396</v>
      </c>
      <c r="V19" s="2">
        <f>+V18/V20</f>
        <v>2.7097525623770551</v>
      </c>
      <c r="W19" s="2">
        <f t="shared" ref="W19:AG19" si="36">+W18/W20</f>
        <v>8.0659980329226606</v>
      </c>
      <c r="X19" s="2">
        <f t="shared" si="36"/>
        <v>9.8308374831763121</v>
      </c>
      <c r="Y19" s="2">
        <f t="shared" si="36"/>
        <v>14.797400183378198</v>
      </c>
      <c r="Z19" s="2">
        <f t="shared" si="36"/>
        <v>17.191525433393334</v>
      </c>
      <c r="AA19" s="2">
        <f t="shared" si="36"/>
        <v>19.988515221193087</v>
      </c>
      <c r="AB19" s="2">
        <f t="shared" si="36"/>
        <v>21.52589807592026</v>
      </c>
      <c r="AC19" s="2">
        <f t="shared" si="36"/>
        <v>22.627908926929166</v>
      </c>
      <c r="AD19" s="2">
        <f t="shared" si="36"/>
        <v>22.498462402382849</v>
      </c>
      <c r="AE19" s="2">
        <f t="shared" si="36"/>
        <v>22.475512689461976</v>
      </c>
      <c r="AF19" s="2">
        <f t="shared" si="36"/>
        <v>22.553218865554911</v>
      </c>
      <c r="AG19" s="2">
        <f t="shared" si="36"/>
        <v>22.726563226732825</v>
      </c>
    </row>
    <row r="20" spans="2:131" s="3" customFormat="1" x14ac:dyDescent="0.2">
      <c r="B20" s="3" t="s">
        <v>1</v>
      </c>
      <c r="C20" s="5">
        <v>16.530999999999999</v>
      </c>
      <c r="D20" s="5">
        <v>17.855</v>
      </c>
      <c r="E20" s="5">
        <v>19.125</v>
      </c>
      <c r="F20" s="5"/>
      <c r="G20" s="5">
        <v>19.422000000000001</v>
      </c>
      <c r="H20" s="5">
        <v>19.321000000000002</v>
      </c>
      <c r="I20" s="5">
        <v>19.404</v>
      </c>
      <c r="J20" s="5">
        <f>+V20</f>
        <v>19.318000000000001</v>
      </c>
      <c r="K20" s="5">
        <v>20.045999999999999</v>
      </c>
      <c r="L20" s="5">
        <v>20.308</v>
      </c>
      <c r="M20" s="5"/>
      <c r="N20" s="5"/>
      <c r="T20" s="3">
        <v>16.260000000000002</v>
      </c>
      <c r="U20" s="3">
        <v>18.193999999999999</v>
      </c>
      <c r="V20" s="3">
        <v>19.318000000000001</v>
      </c>
      <c r="W20" s="3">
        <f>+V20</f>
        <v>19.318000000000001</v>
      </c>
      <c r="X20" s="3">
        <f t="shared" ref="X20:AG20" si="37">+W20</f>
        <v>19.318000000000001</v>
      </c>
      <c r="Y20" s="3">
        <f t="shared" si="37"/>
        <v>19.318000000000001</v>
      </c>
      <c r="Z20" s="3">
        <f t="shared" si="37"/>
        <v>19.318000000000001</v>
      </c>
      <c r="AA20" s="3">
        <f t="shared" si="37"/>
        <v>19.318000000000001</v>
      </c>
      <c r="AB20" s="3">
        <f t="shared" si="37"/>
        <v>19.318000000000001</v>
      </c>
      <c r="AC20" s="3">
        <f t="shared" si="37"/>
        <v>19.318000000000001</v>
      </c>
      <c r="AD20" s="3">
        <f t="shared" si="37"/>
        <v>19.318000000000001</v>
      </c>
      <c r="AE20" s="3">
        <f t="shared" si="37"/>
        <v>19.318000000000001</v>
      </c>
      <c r="AF20" s="3">
        <f t="shared" si="37"/>
        <v>19.318000000000001</v>
      </c>
      <c r="AG20" s="3">
        <f t="shared" si="37"/>
        <v>19.318000000000001</v>
      </c>
    </row>
    <row r="22" spans="2:131" x14ac:dyDescent="0.2">
      <c r="B22" s="1" t="s">
        <v>38</v>
      </c>
      <c r="G22" s="9">
        <f t="shared" ref="G22:N22" si="38">+G3/C3-1</f>
        <v>1.2619105939987754</v>
      </c>
      <c r="H22" s="9">
        <f t="shared" si="38"/>
        <v>1.024070111915734</v>
      </c>
      <c r="I22" s="9">
        <f t="shared" si="38"/>
        <v>0.76750521288760321</v>
      </c>
      <c r="J22" s="9">
        <f t="shared" si="38"/>
        <v>0.42278856978610246</v>
      </c>
      <c r="K22" s="9">
        <f t="shared" si="38"/>
        <v>0.43081463031648504</v>
      </c>
      <c r="L22" s="9">
        <f t="shared" si="38"/>
        <v>0.65972801008273563</v>
      </c>
      <c r="M22" s="9">
        <f t="shared" si="38"/>
        <v>0.5</v>
      </c>
      <c r="N22" s="9">
        <f t="shared" si="38"/>
        <v>0.5</v>
      </c>
    </row>
    <row r="24" spans="2:131" x14ac:dyDescent="0.2">
      <c r="B24" s="1" t="s">
        <v>37</v>
      </c>
      <c r="T24" s="10">
        <f t="shared" ref="T24:V24" si="39">+T10/T8</f>
        <v>0.56134140366957974</v>
      </c>
      <c r="U24" s="10">
        <f t="shared" si="39"/>
        <v>0.62714249326234139</v>
      </c>
      <c r="V24" s="10">
        <f t="shared" si="39"/>
        <v>0.5927412529135252</v>
      </c>
      <c r="W24" s="10">
        <f>+W10/W8</f>
        <v>0.5</v>
      </c>
      <c r="X24" s="10">
        <f t="shared" ref="X24:AG24" si="40">+X10/X8</f>
        <v>0.6</v>
      </c>
      <c r="Y24" s="10">
        <f t="shared" si="40"/>
        <v>0.7</v>
      </c>
      <c r="Z24" s="10">
        <f t="shared" si="40"/>
        <v>0.73</v>
      </c>
      <c r="AA24" s="10">
        <f t="shared" si="40"/>
        <v>0.75</v>
      </c>
      <c r="AB24" s="10">
        <f t="shared" si="40"/>
        <v>0.77</v>
      </c>
      <c r="AC24" s="10">
        <f t="shared" si="40"/>
        <v>0.8</v>
      </c>
      <c r="AD24" s="10">
        <f t="shared" si="40"/>
        <v>0.8</v>
      </c>
      <c r="AE24" s="10">
        <f t="shared" si="40"/>
        <v>0.8</v>
      </c>
      <c r="AF24" s="10">
        <f t="shared" si="40"/>
        <v>0.8</v>
      </c>
      <c r="AG24" s="10">
        <f t="shared" si="40"/>
        <v>0.8</v>
      </c>
    </row>
    <row r="25" spans="2:131" x14ac:dyDescent="0.2">
      <c r="AI25" s="1" t="s">
        <v>39</v>
      </c>
      <c r="AJ25" s="10">
        <v>-0.05</v>
      </c>
    </row>
    <row r="26" spans="2:131" x14ac:dyDescent="0.2">
      <c r="AI26" s="1" t="s">
        <v>40</v>
      </c>
      <c r="AJ26" s="10">
        <v>0.09</v>
      </c>
    </row>
    <row r="27" spans="2:131" x14ac:dyDescent="0.2">
      <c r="AI27" s="1" t="s">
        <v>41</v>
      </c>
      <c r="AJ27" s="3">
        <f>NPV(AJ26,X18:EA18)+Main!L5-Main!L6</f>
        <v>3172.1014309450875</v>
      </c>
    </row>
    <row r="28" spans="2:131" x14ac:dyDescent="0.2">
      <c r="AI28" s="11" t="s">
        <v>42</v>
      </c>
      <c r="AJ28" s="3">
        <f>AJ27/Main!L3</f>
        <v>146.25546485273981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2025-08-18T16:11:21Z</dcterms:created>
  <dcterms:modified xsi:type="dcterms:W3CDTF">2025-10-07T21:40:14Z</dcterms:modified>
</cp:coreProperties>
</file>