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B74611C-589F-49A7-B91F-DA62CB5E6513}" xr6:coauthVersionLast="47" xr6:coauthVersionMax="47" xr10:uidLastSave="{00000000-0000-0000-0000-000000000000}"/>
  <bookViews>
    <workbookView xWindow="0" yWindow="0" windowWidth="25800" windowHeight="21000" activeTab="2" xr2:uid="{C5D46298-A5E7-4521-8F34-4B6B3EF66A99}"/>
  </bookViews>
  <sheets>
    <sheet name="Main" sheetId="1" r:id="rId1"/>
    <sheet name="Model" sheetId="3" r:id="rId2"/>
    <sheet name="Empaveli" sheetId="2" r:id="rId3"/>
    <sheet name="Syfov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3" l="1"/>
  <c r="P20" i="3"/>
  <c r="Q20" i="3"/>
  <c r="N20" i="3"/>
  <c r="M18" i="3"/>
  <c r="N15" i="3"/>
  <c r="M15" i="3"/>
  <c r="M10" i="3"/>
  <c r="M11" i="3" s="1"/>
  <c r="N9" i="3"/>
  <c r="M9" i="3"/>
  <c r="M7" i="3"/>
  <c r="N5" i="3"/>
  <c r="M5" i="3"/>
  <c r="I18" i="3"/>
  <c r="J18" i="3" s="1"/>
  <c r="J10" i="3"/>
  <c r="J11" i="3" s="1"/>
  <c r="I10" i="3"/>
  <c r="I11" i="3" s="1"/>
  <c r="I4" i="3"/>
  <c r="J4" i="3" s="1"/>
  <c r="I3" i="3"/>
  <c r="M3" i="3"/>
  <c r="D13" i="3"/>
  <c r="E13" i="3"/>
  <c r="F13" i="3"/>
  <c r="G13" i="3"/>
  <c r="G11" i="3"/>
  <c r="H13" i="3"/>
  <c r="H11" i="3"/>
  <c r="H6" i="3"/>
  <c r="H8" i="3" s="1"/>
  <c r="G6" i="3"/>
  <c r="G8" i="3" s="1"/>
  <c r="G21" i="3" s="1"/>
  <c r="H12" i="3" l="1"/>
  <c r="H14" i="3" s="1"/>
  <c r="H16" i="3" s="1"/>
  <c r="H17" i="3" s="1"/>
  <c r="N13" i="3"/>
  <c r="N10" i="3"/>
  <c r="I6" i="3"/>
  <c r="J3" i="3"/>
  <c r="N4" i="3"/>
  <c r="G12" i="3"/>
  <c r="N18" i="3"/>
  <c r="O18" i="3" s="1"/>
  <c r="P18" i="3" s="1"/>
  <c r="Q18" i="3" s="1"/>
  <c r="N3" i="3"/>
  <c r="J6" i="3"/>
  <c r="H21" i="3"/>
  <c r="G14" i="3"/>
  <c r="G16" i="3" s="1"/>
  <c r="G17" i="3" s="1"/>
  <c r="J8" i="3" l="1"/>
  <c r="I8" i="3"/>
  <c r="O10" i="3"/>
  <c r="N11" i="3"/>
  <c r="L6" i="1"/>
  <c r="N2" i="3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D4" i="3"/>
  <c r="M4" i="3" s="1"/>
  <c r="C6" i="3"/>
  <c r="C37" i="3"/>
  <c r="C36" i="3"/>
  <c r="C24" i="3"/>
  <c r="C23" i="3" s="1"/>
  <c r="C13" i="3"/>
  <c r="M13" i="3" s="1"/>
  <c r="C11" i="3"/>
  <c r="L4" i="1"/>
  <c r="C8" i="3" l="1"/>
  <c r="G20" i="3"/>
  <c r="P10" i="3"/>
  <c r="O11" i="3"/>
  <c r="I7" i="3"/>
  <c r="I21" i="3"/>
  <c r="I12" i="3"/>
  <c r="I14" i="3" s="1"/>
  <c r="I16" i="3" s="1"/>
  <c r="I17" i="3" s="1"/>
  <c r="J7" i="3"/>
  <c r="J21" i="3"/>
  <c r="J12" i="3"/>
  <c r="J14" i="3" s="1"/>
  <c r="J16" i="3" s="1"/>
  <c r="J17" i="3" s="1"/>
  <c r="C12" i="3"/>
  <c r="C14" i="3" s="1"/>
  <c r="C16" i="3" s="1"/>
  <c r="C17" i="3" s="1"/>
  <c r="C21" i="3"/>
  <c r="C41" i="3"/>
  <c r="F11" i="3"/>
  <c r="E11" i="3"/>
  <c r="D11" i="3"/>
  <c r="D6" i="3"/>
  <c r="H20" i="3" s="1"/>
  <c r="C32" i="3"/>
  <c r="E6" i="3"/>
  <c r="L7" i="1"/>
  <c r="E8" i="3" l="1"/>
  <c r="I20" i="3"/>
  <c r="N7" i="3"/>
  <c r="Q10" i="3"/>
  <c r="Q11" i="3" s="1"/>
  <c r="P11" i="3"/>
  <c r="F6" i="3"/>
  <c r="E21" i="3"/>
  <c r="D8" i="3"/>
  <c r="D21" i="3" s="1"/>
  <c r="O4" i="3"/>
  <c r="P4" i="3" s="1"/>
  <c r="Q4" i="3" s="1"/>
  <c r="R4" i="3" s="1"/>
  <c r="S4" i="3" s="1"/>
  <c r="T4" i="3" s="1"/>
  <c r="U4" i="3" s="1"/>
  <c r="V4" i="3" s="1"/>
  <c r="W4" i="3" s="1"/>
  <c r="X4" i="3" s="1"/>
  <c r="Y4" i="3" s="1"/>
  <c r="D12" i="3"/>
  <c r="D14" i="3" s="1"/>
  <c r="D16" i="3" s="1"/>
  <c r="D17" i="3" s="1"/>
  <c r="F8" i="3" l="1"/>
  <c r="J20" i="3"/>
  <c r="F21" i="3"/>
  <c r="F12" i="3"/>
  <c r="F14" i="3" s="1"/>
  <c r="F16" i="3" s="1"/>
  <c r="F17" i="3" s="1"/>
  <c r="E12" i="3"/>
  <c r="E14" i="3" s="1"/>
  <c r="E16" i="3" s="1"/>
  <c r="E17" i="3" s="1"/>
  <c r="M6" i="3"/>
  <c r="M8" i="3" s="1"/>
  <c r="M12" i="3" s="1"/>
  <c r="M14" i="3" s="1"/>
  <c r="M16" i="3" s="1"/>
  <c r="M17" i="3" s="1"/>
  <c r="N6" i="3" l="1"/>
  <c r="N8" i="3" s="1"/>
  <c r="N12" i="3" s="1"/>
  <c r="N14" i="3" s="1"/>
  <c r="N16" i="3" s="1"/>
  <c r="N17" i="3" s="1"/>
  <c r="O3" i="3"/>
  <c r="P3" i="3" s="1"/>
  <c r="O6" i="3" l="1"/>
  <c r="O8" i="3" s="1"/>
  <c r="O12" i="3" s="1"/>
  <c r="O14" i="3" s="1"/>
  <c r="O15" i="3" l="1"/>
  <c r="O16" i="3" s="1"/>
  <c r="O17" i="3" s="1"/>
  <c r="P6" i="3"/>
  <c r="P8" i="3" s="1"/>
  <c r="P12" i="3" s="1"/>
  <c r="P14" i="3" s="1"/>
  <c r="Q3" i="3"/>
  <c r="R3" i="3" s="1"/>
  <c r="S3" i="3" s="1"/>
  <c r="T3" i="3" s="1"/>
  <c r="U3" i="3" s="1"/>
  <c r="V3" i="3" s="1"/>
  <c r="W3" i="3" s="1"/>
  <c r="X3" i="3" s="1"/>
  <c r="Y3" i="3" s="1"/>
  <c r="P15" i="3" l="1"/>
  <c r="P16" i="3" s="1"/>
  <c r="P17" i="3" s="1"/>
  <c r="Q6" i="3"/>
  <c r="Q8" i="3" s="1"/>
  <c r="Q12" i="3" s="1"/>
  <c r="Q14" i="3" s="1"/>
  <c r="Q15" i="3" l="1"/>
  <c r="Q16" i="3" s="1"/>
  <c r="Q17" i="3" s="1"/>
  <c r="R6" i="3"/>
  <c r="S6" i="3" l="1"/>
  <c r="T6" i="3" l="1"/>
  <c r="U6" i="3" l="1"/>
  <c r="V6" i="3" l="1"/>
  <c r="W6" i="3" l="1"/>
  <c r="Y6" i="3" l="1"/>
  <c r="X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Q3" authorId="0" shapeId="0" xr:uid="{E9540ACE-86AC-4417-8262-248723E55914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Patent expires 12/2027</t>
        </r>
      </text>
    </comment>
  </commentList>
</comments>
</file>

<file path=xl/sharedStrings.xml><?xml version="1.0" encoding="utf-8"?>
<sst xmlns="http://schemas.openxmlformats.org/spreadsheetml/2006/main" count="142" uniqueCount="121">
  <si>
    <t>Price</t>
  </si>
  <si>
    <t>Brand</t>
  </si>
  <si>
    <t>Generic</t>
  </si>
  <si>
    <t>pegcetacoplan</t>
  </si>
  <si>
    <t>Indication</t>
  </si>
  <si>
    <t>Geographic Atrophy</t>
  </si>
  <si>
    <t>MOA</t>
  </si>
  <si>
    <t>Shares</t>
  </si>
  <si>
    <t>MC</t>
  </si>
  <si>
    <t>Cash</t>
  </si>
  <si>
    <t>Debt</t>
  </si>
  <si>
    <t>EV</t>
  </si>
  <si>
    <t>C3</t>
  </si>
  <si>
    <t>Main</t>
  </si>
  <si>
    <t>CDO: Jeff Eisele</t>
  </si>
  <si>
    <t>Administration</t>
  </si>
  <si>
    <t>Admin</t>
  </si>
  <si>
    <t>intravitreal</t>
  </si>
  <si>
    <t>CMO: Federico Grossi</t>
  </si>
  <si>
    <t>Empaveli</t>
  </si>
  <si>
    <t>IP</t>
  </si>
  <si>
    <t>Approval</t>
  </si>
  <si>
    <t>Economics</t>
  </si>
  <si>
    <t>SOBI</t>
  </si>
  <si>
    <t>APL-2006</t>
  </si>
  <si>
    <t>C3/VEGF</t>
  </si>
  <si>
    <t>APL-1030</t>
  </si>
  <si>
    <t>Q123</t>
  </si>
  <si>
    <t>Q223</t>
  </si>
  <si>
    <t>Q323</t>
  </si>
  <si>
    <t>Q423</t>
  </si>
  <si>
    <t>Revenue</t>
  </si>
  <si>
    <t>Licensing</t>
  </si>
  <si>
    <t>Operating Income</t>
  </si>
  <si>
    <t>Operating Expenses</t>
  </si>
  <si>
    <t>COGS</t>
  </si>
  <si>
    <t>Gross Profit</t>
  </si>
  <si>
    <t>R&amp;D</t>
  </si>
  <si>
    <t>G&amp;A</t>
  </si>
  <si>
    <t>Net Income</t>
  </si>
  <si>
    <t>Taxes</t>
  </si>
  <si>
    <t>Pretax Income</t>
  </si>
  <si>
    <t>Other Income</t>
  </si>
  <si>
    <t>Founded</t>
  </si>
  <si>
    <t>PNH</t>
  </si>
  <si>
    <t>Syfovre</t>
  </si>
  <si>
    <t>AD</t>
  </si>
  <si>
    <t>AR</t>
  </si>
  <si>
    <t>Inventory</t>
  </si>
  <si>
    <t>Prepaids</t>
  </si>
  <si>
    <t>OCA</t>
  </si>
  <si>
    <t>ROU</t>
  </si>
  <si>
    <t>PP&amp;E</t>
  </si>
  <si>
    <t>Other</t>
  </si>
  <si>
    <t>Assets</t>
  </si>
  <si>
    <t>L+SE</t>
  </si>
  <si>
    <t>SE</t>
  </si>
  <si>
    <t>AP</t>
  </si>
  <si>
    <t>AE</t>
  </si>
  <si>
    <t>Development</t>
  </si>
  <si>
    <t>Net Cash</t>
  </si>
  <si>
    <t>CEO: Cedric Francois</t>
  </si>
  <si>
    <t>CCO: Adam Townsend</t>
  </si>
  <si>
    <t>CNS active</t>
  </si>
  <si>
    <t>Phase</t>
  </si>
  <si>
    <t>Preclinical</t>
  </si>
  <si>
    <t>siRNA</t>
  </si>
  <si>
    <t>IND</t>
  </si>
  <si>
    <t>subcutaneous infusion</t>
  </si>
  <si>
    <t>CMO: Caroline Baumal</t>
  </si>
  <si>
    <t>Gross Margin</t>
  </si>
  <si>
    <t>Q224</t>
  </si>
  <si>
    <t>Q124</t>
  </si>
  <si>
    <t>Q324</t>
  </si>
  <si>
    <t>Q424</t>
  </si>
  <si>
    <t>S/O</t>
  </si>
  <si>
    <t>EPS</t>
  </si>
  <si>
    <t>Revenue y/y</t>
  </si>
  <si>
    <t>APL-3007</t>
  </si>
  <si>
    <t xml:space="preserve"> Empaveli, Aspaveli (formerly APL-2)</t>
  </si>
  <si>
    <t xml:space="preserve"> Licensed to Sobi in Europe</t>
  </si>
  <si>
    <t>Generic name</t>
  </si>
  <si>
    <t xml:space="preserve"> Pegcetacoplan</t>
  </si>
  <si>
    <t>Therapeutic areas</t>
  </si>
  <si>
    <t xml:space="preserve"> Paroxysmal Nocturnal Hemoglobinuria (PNH), Geographic Atrophy (GA)</t>
  </si>
  <si>
    <t>Commercial rights</t>
  </si>
  <si>
    <t>Mechanism of Action (MOA)</t>
  </si>
  <si>
    <t xml:space="preserve"> Complement C3 inhibitor – blocks central complement pathway to prevent red blood cell destruction and inflammation</t>
  </si>
  <si>
    <t xml:space="preserve"> Subcutaneous injection, twice weekly (1080 mg dose)</t>
  </si>
  <si>
    <t>Intellectual Property (IP):</t>
  </si>
  <si>
    <t>• Patent US10035822B2 – expires 2033, with possible extension to 2035</t>
  </si>
  <si>
    <t>• PEG formulation patent (US7888323) – expires 2027</t>
  </si>
  <si>
    <t>Clinical Trials Overview:</t>
  </si>
  <si>
    <r>
      <t>Phase III “PRINCE”</t>
    </r>
    <r>
      <rPr>
        <sz val="10"/>
        <color theme="1"/>
        <rFont val="Arial"/>
        <family val="2"/>
      </rPr>
      <t xml:space="preserve"> – Treatment-naïve PNH patients (n=53)</t>
    </r>
  </si>
  <si>
    <t>• Evaluated efficacy in patients who had not received prior complement inhibitors</t>
  </si>
  <si>
    <t>• Demonstrated strong improvements in hemoglobin stabilization and transfusion avoidance</t>
  </si>
  <si>
    <t>• ClinicalTrials.gov ID: NCT04085601</t>
  </si>
  <si>
    <r>
      <t>Phase III “PEGASUS”</t>
    </r>
    <r>
      <rPr>
        <sz val="10"/>
        <color theme="1"/>
        <rFont val="Arial"/>
        <family val="2"/>
      </rPr>
      <t xml:space="preserve"> – PNH patients switching from eculizumab (Soliris) (n=80)</t>
    </r>
  </si>
  <si>
    <t>• Showed superiority in hemoglobin stabilization compared to Soliris</t>
  </si>
  <si>
    <t>• ClinicalTrials.gov ID: NCT03500549</t>
  </si>
  <si>
    <r>
      <t>Phase III “VALIANT”</t>
    </r>
    <r>
      <rPr>
        <sz val="10"/>
        <color theme="1"/>
        <rFont val="Arial"/>
        <family val="2"/>
      </rPr>
      <t xml:space="preserve"> – Patients with immune complex-mediated membranoproliferative glomerulonephritis (IC-MPGN) and C3 glomerulopathy (C3G) (n=124)</t>
    </r>
  </si>
  <si>
    <t>• 68% reduction in proteinuria, indicating kidney protection</t>
  </si>
  <si>
    <r>
      <t>Phase II “MERIDIAN”</t>
    </r>
    <r>
      <rPr>
        <sz val="10"/>
        <color theme="1"/>
        <rFont val="Arial"/>
        <family val="2"/>
      </rPr>
      <t xml:space="preserve"> – Amyotrophic Lateral Sclerosis (ALS)</t>
    </r>
  </si>
  <si>
    <t>• Exploring complement inhibition as a potential neuroprotective therapy</t>
  </si>
  <si>
    <r>
      <t>Phase II HSCT-TMA</t>
    </r>
    <r>
      <rPr>
        <sz val="10"/>
        <color theme="1"/>
        <rFont val="Arial"/>
        <family val="2"/>
      </rPr>
      <t xml:space="preserve"> – Hematopoietic Stem Cell Transplant-Associated Thrombotic Microangiopathy</t>
    </r>
  </si>
  <si>
    <t>• Investigating efficacy in reducing complement-mediated endothelial injury</t>
  </si>
  <si>
    <t xml:space="preserve"> Syfovre</t>
  </si>
  <si>
    <t xml:space="preserve"> Geographic Atrophy (GA) secondary to Age-related Macular Degeneration (AMD)</t>
  </si>
  <si>
    <t xml:space="preserve"> Intravitreal injection, either monthly (q4w) or every other month (q8w)</t>
  </si>
  <si>
    <t>Regulatory status</t>
  </si>
  <si>
    <t xml:space="preserve"> Approvals in the U.S.; decisions expected in EU, Canada, Australia, UK, and Switzerland during 1H2024</t>
  </si>
  <si>
    <r>
      <t>Phase III “DERBY”</t>
    </r>
    <r>
      <rPr>
        <sz val="10"/>
        <color theme="1"/>
        <rFont val="Arial"/>
        <family val="2"/>
      </rPr>
      <t xml:space="preserve"> – Geographic Atrophy (n=621)</t>
    </r>
  </si>
  <si>
    <t>• Evaluated reduction in GA lesion growth versus sham treatment</t>
  </si>
  <si>
    <t>• 17% reduction with monthly dosing and 23% with every-other-month dosing</t>
  </si>
  <si>
    <t>• Patients gained 5.6 letters more than sham in extrafoveal lesions</t>
  </si>
  <si>
    <r>
      <t>Phase III “OAKS”</t>
    </r>
    <r>
      <rPr>
        <sz val="10"/>
        <color theme="1"/>
        <rFont val="Arial"/>
        <family val="2"/>
      </rPr>
      <t xml:space="preserve"> – Geographic Atrophy (n=637)</t>
    </r>
  </si>
  <si>
    <t>• Confirmed consistent efficacy with DERBY trial</t>
  </si>
  <si>
    <t>• 33% reduction in extrafoveal GA growth with monthly dosing and 17% with every-other-month dosing</t>
  </si>
  <si>
    <r>
      <t>Phase II “FILLY”</t>
    </r>
    <r>
      <rPr>
        <sz val="10"/>
        <color theme="1"/>
        <rFont val="Arial"/>
        <family val="2"/>
      </rPr>
      <t xml:space="preserve"> – Geographic Atrophy (n=246)</t>
    </r>
  </si>
  <si>
    <t>• Early proof-of-concept study showing significant slowing of GA lesion growth</t>
  </si>
  <si>
    <t>• Provided key data supporting advancement to Phase III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</si>
</sst>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Alignment="1">
      <alignment horizontal="right"/>
    </xf>
    <xf numFmtId="3" fontId="3" fillId="0" borderId="0" xfId="0" applyNumberFormat="1" applyFont="1"/>
    <xf numFmtId="0" fontId="4" fillId="0" borderId="0" xfId="0" applyFont="1"/>
    <xf numFmtId="9" fontId="0" fillId="0" borderId="0" xfId="0" applyNumberFormat="1"/>
    <xf numFmtId="3" fontId="0" fillId="2" borderId="0" xfId="0" applyNumberForma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304C19-BC5E-45B0-9B0A-F4944B7AD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65314</xdr:colOff>
      <xdr:row>0</xdr:row>
      <xdr:rowOff>0</xdr:rowOff>
    </xdr:from>
    <xdr:to>
      <xdr:col>8</xdr:col>
      <xdr:colOff>65314</xdr:colOff>
      <xdr:row>51</xdr:row>
      <xdr:rowOff>21771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88DD12-4EBA-E02A-D303-580D788DAD0A}"/>
            </a:ext>
          </a:extLst>
        </xdr:cNvPr>
        <xdr:cNvCxnSpPr/>
      </xdr:nvCxnSpPr>
      <xdr:spPr>
        <a:xfrm>
          <a:off x="12578443" y="0"/>
          <a:ext cx="0" cy="8186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59872</xdr:colOff>
      <xdr:row>0</xdr:row>
      <xdr:rowOff>0</xdr:rowOff>
    </xdr:from>
    <xdr:to>
      <xdr:col>13</xdr:col>
      <xdr:colOff>59872</xdr:colOff>
      <xdr:row>51</xdr:row>
      <xdr:rowOff>21771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AF34C7-A319-41F5-A08D-B8D796272E0B}"/>
            </a:ext>
          </a:extLst>
        </xdr:cNvPr>
        <xdr:cNvCxnSpPr/>
      </xdr:nvCxnSpPr>
      <xdr:spPr>
        <a:xfrm>
          <a:off x="18669001" y="0"/>
          <a:ext cx="0" cy="83493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1C3-C4BE-43F2-B9DB-E2CAB01F5DB4}">
  <dimension ref="B2:M18"/>
  <sheetViews>
    <sheetView zoomScaleNormal="100" workbookViewId="0">
      <selection activeCell="O2" sqref="O2"/>
    </sheetView>
  </sheetViews>
  <sheetFormatPr defaultRowHeight="12.75" x14ac:dyDescent="0.2"/>
  <cols>
    <col min="1" max="1" width="3" customWidth="1"/>
    <col min="2" max="2" width="15.5703125" bestFit="1" customWidth="1"/>
    <col min="3" max="3" width="13.42578125" customWidth="1"/>
    <col min="4" max="4" width="19.140625" customWidth="1"/>
    <col min="5" max="5" width="10.42578125" customWidth="1"/>
    <col min="6" max="6" width="15.140625" bestFit="1" customWidth="1"/>
    <col min="7" max="7" width="11.28515625" customWidth="1"/>
    <col min="8" max="8" width="10.140625" customWidth="1"/>
    <col min="9" max="9" width="10.5703125" customWidth="1"/>
    <col min="10" max="10" width="14" customWidth="1"/>
  </cols>
  <sheetData>
    <row r="2" spans="2:13" x14ac:dyDescent="0.2">
      <c r="B2" s="5" t="s">
        <v>1</v>
      </c>
      <c r="C2" s="6" t="s">
        <v>2</v>
      </c>
      <c r="D2" s="6" t="s">
        <v>4</v>
      </c>
      <c r="E2" s="6" t="s">
        <v>6</v>
      </c>
      <c r="F2" s="12" t="s">
        <v>21</v>
      </c>
      <c r="G2" s="12" t="s">
        <v>22</v>
      </c>
      <c r="H2" s="12" t="s">
        <v>16</v>
      </c>
      <c r="I2" s="13" t="s">
        <v>20</v>
      </c>
      <c r="K2" t="s">
        <v>0</v>
      </c>
      <c r="L2" s="1">
        <v>27</v>
      </c>
    </row>
    <row r="3" spans="2:13" x14ac:dyDescent="0.2">
      <c r="B3" s="11" t="s">
        <v>19</v>
      </c>
      <c r="C3" t="s">
        <v>3</v>
      </c>
      <c r="D3" t="s">
        <v>44</v>
      </c>
      <c r="E3" t="s">
        <v>12</v>
      </c>
      <c r="F3" s="14">
        <v>44330</v>
      </c>
      <c r="G3" s="15"/>
      <c r="H3" s="15" t="s">
        <v>68</v>
      </c>
      <c r="I3" s="16"/>
      <c r="K3" t="s">
        <v>7</v>
      </c>
      <c r="L3" s="7">
        <v>121.766328</v>
      </c>
      <c r="M3" s="8" t="s">
        <v>71</v>
      </c>
    </row>
    <row r="4" spans="2:13" x14ac:dyDescent="0.2">
      <c r="B4" s="11" t="s">
        <v>45</v>
      </c>
      <c r="C4" t="s">
        <v>3</v>
      </c>
      <c r="D4" t="s">
        <v>5</v>
      </c>
      <c r="E4" t="s">
        <v>12</v>
      </c>
      <c r="F4" s="14">
        <v>44958</v>
      </c>
      <c r="G4" s="14" t="s">
        <v>23</v>
      </c>
      <c r="H4" s="15" t="s">
        <v>17</v>
      </c>
      <c r="I4" s="16"/>
      <c r="K4" t="s">
        <v>8</v>
      </c>
      <c r="L4" s="7">
        <f>L2*L3</f>
        <v>3287.6908560000002</v>
      </c>
    </row>
    <row r="5" spans="2:13" x14ac:dyDescent="0.2">
      <c r="B5" s="5"/>
      <c r="C5" s="6"/>
      <c r="D5" s="6"/>
      <c r="E5" s="6"/>
      <c r="F5" s="12" t="s">
        <v>64</v>
      </c>
      <c r="G5" s="12"/>
      <c r="H5" s="12"/>
      <c r="I5" s="13"/>
      <c r="K5" t="s">
        <v>9</v>
      </c>
      <c r="L5" s="7">
        <v>360.08699999999999</v>
      </c>
      <c r="M5" s="8" t="s">
        <v>71</v>
      </c>
    </row>
    <row r="6" spans="2:13" x14ac:dyDescent="0.2">
      <c r="B6" s="2" t="s">
        <v>24</v>
      </c>
      <c r="E6" t="s">
        <v>25</v>
      </c>
      <c r="F6" s="15"/>
      <c r="G6" s="15"/>
      <c r="H6" s="15"/>
      <c r="I6" s="16"/>
      <c r="K6" t="s">
        <v>10</v>
      </c>
      <c r="L6" s="7">
        <f>92.809+364.025</f>
        <v>456.83399999999995</v>
      </c>
      <c r="M6" s="8" t="s">
        <v>71</v>
      </c>
    </row>
    <row r="7" spans="2:13" x14ac:dyDescent="0.2">
      <c r="B7" s="2" t="s">
        <v>26</v>
      </c>
      <c r="E7" t="s">
        <v>63</v>
      </c>
      <c r="F7" s="15" t="s">
        <v>65</v>
      </c>
      <c r="G7" s="15"/>
      <c r="H7" s="15"/>
      <c r="I7" s="16"/>
      <c r="K7" t="s">
        <v>11</v>
      </c>
      <c r="L7" s="7">
        <f>+L4-L5+L6</f>
        <v>3384.437856</v>
      </c>
    </row>
    <row r="8" spans="2:13" x14ac:dyDescent="0.2">
      <c r="B8" s="3" t="s">
        <v>78</v>
      </c>
      <c r="C8" s="4"/>
      <c r="D8" s="4"/>
      <c r="E8" s="4" t="s">
        <v>66</v>
      </c>
      <c r="F8" s="17" t="s">
        <v>67</v>
      </c>
      <c r="G8" s="17"/>
      <c r="H8" s="17"/>
      <c r="I8" s="18"/>
      <c r="K8" t="s">
        <v>46</v>
      </c>
      <c r="L8" s="7">
        <v>2941.5680000000002</v>
      </c>
      <c r="M8" s="8" t="s">
        <v>71</v>
      </c>
    </row>
    <row r="9" spans="2:13" x14ac:dyDescent="0.2">
      <c r="F9" s="15"/>
      <c r="G9" s="15"/>
      <c r="H9" s="15"/>
      <c r="I9" s="15"/>
      <c r="L9" s="7"/>
      <c r="M9" s="8"/>
    </row>
    <row r="10" spans="2:13" x14ac:dyDescent="0.2">
      <c r="K10" t="s">
        <v>43</v>
      </c>
      <c r="L10">
        <v>2009</v>
      </c>
    </row>
    <row r="11" spans="2:13" x14ac:dyDescent="0.2">
      <c r="F11" s="21"/>
    </row>
    <row r="12" spans="2:13" x14ac:dyDescent="0.2">
      <c r="F12" s="21"/>
      <c r="K12" t="s">
        <v>61</v>
      </c>
    </row>
    <row r="13" spans="2:13" x14ac:dyDescent="0.2">
      <c r="F13" s="21"/>
      <c r="K13" t="s">
        <v>14</v>
      </c>
    </row>
    <row r="14" spans="2:13" x14ac:dyDescent="0.2">
      <c r="F14" s="21"/>
      <c r="K14" t="s">
        <v>18</v>
      </c>
    </row>
    <row r="15" spans="2:13" x14ac:dyDescent="0.2">
      <c r="F15" s="21"/>
      <c r="K15" t="s">
        <v>62</v>
      </c>
    </row>
    <row r="16" spans="2:13" x14ac:dyDescent="0.2">
      <c r="F16" s="21"/>
      <c r="K16" t="s">
        <v>69</v>
      </c>
    </row>
    <row r="17" spans="6:6" x14ac:dyDescent="0.2">
      <c r="F17" s="21"/>
    </row>
    <row r="18" spans="6:6" x14ac:dyDescent="0.2">
      <c r="F18" s="21"/>
    </row>
  </sheetData>
  <hyperlinks>
    <hyperlink ref="B4" location="Syfovre!A1" display="Syfovre" xr:uid="{F9D78289-C296-42AB-B102-2402619FF201}"/>
    <hyperlink ref="B3" location="Empaveli!A1" display="Empaveli" xr:uid="{E8576F7F-35CA-4147-9797-8325B39595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9619-7317-48A8-BEE2-EDC89FDCB0B3}">
  <dimension ref="A1:Y4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N20" sqref="N20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25" x14ac:dyDescent="0.2">
      <c r="A1" s="9" t="s">
        <v>13</v>
      </c>
    </row>
    <row r="2" spans="1:25" x14ac:dyDescent="0.2">
      <c r="C2" s="8" t="s">
        <v>27</v>
      </c>
      <c r="D2" s="8" t="s">
        <v>28</v>
      </c>
      <c r="E2" s="8" t="s">
        <v>29</v>
      </c>
      <c r="F2" s="8" t="s">
        <v>30</v>
      </c>
      <c r="G2" s="8" t="s">
        <v>72</v>
      </c>
      <c r="H2" s="8" t="s">
        <v>71</v>
      </c>
      <c r="I2" s="8" t="s">
        <v>73</v>
      </c>
      <c r="J2" s="8" t="s">
        <v>74</v>
      </c>
      <c r="K2" s="8"/>
      <c r="M2">
        <v>2023</v>
      </c>
      <c r="N2">
        <f t="shared" ref="N2:Y2" si="0">M2+1</f>
        <v>2024</v>
      </c>
      <c r="O2">
        <f t="shared" si="0"/>
        <v>2025</v>
      </c>
      <c r="P2">
        <f t="shared" si="0"/>
        <v>2026</v>
      </c>
      <c r="Q2">
        <f t="shared" si="0"/>
        <v>2027</v>
      </c>
      <c r="R2">
        <f t="shared" si="0"/>
        <v>2028</v>
      </c>
      <c r="S2">
        <f t="shared" si="0"/>
        <v>2029</v>
      </c>
      <c r="T2">
        <f t="shared" si="0"/>
        <v>2030</v>
      </c>
      <c r="U2">
        <f t="shared" si="0"/>
        <v>2031</v>
      </c>
      <c r="V2">
        <f t="shared" si="0"/>
        <v>2032</v>
      </c>
      <c r="W2">
        <f t="shared" si="0"/>
        <v>2033</v>
      </c>
      <c r="X2">
        <f t="shared" si="0"/>
        <v>2034</v>
      </c>
      <c r="Y2">
        <f t="shared" si="0"/>
        <v>2035</v>
      </c>
    </row>
    <row r="3" spans="1:25" x14ac:dyDescent="0.2">
      <c r="B3" t="s">
        <v>45</v>
      </c>
      <c r="C3" s="19">
        <v>18.399999999999999</v>
      </c>
      <c r="D3" s="19">
        <v>67.3</v>
      </c>
      <c r="E3" s="19">
        <v>75.3</v>
      </c>
      <c r="F3" s="19">
        <v>114.3</v>
      </c>
      <c r="G3" s="19">
        <v>137.5</v>
      </c>
      <c r="H3" s="19">
        <v>154.6</v>
      </c>
      <c r="I3" s="19">
        <f>+H3+25</f>
        <v>179.6</v>
      </c>
      <c r="J3" s="19">
        <f>+I3+25</f>
        <v>204.6</v>
      </c>
      <c r="K3" s="19"/>
      <c r="M3" s="7">
        <f>SUM(C3:F3)</f>
        <v>275.3</v>
      </c>
      <c r="N3" s="7">
        <f>SUM(G3:J3)</f>
        <v>676.30000000000007</v>
      </c>
      <c r="O3" s="7">
        <f>N3*1.5</f>
        <v>1014.45</v>
      </c>
      <c r="P3" s="7">
        <f>O3*1.1</f>
        <v>1115.8950000000002</v>
      </c>
      <c r="Q3" s="23">
        <f>P3*1.1</f>
        <v>1227.4845000000003</v>
      </c>
      <c r="R3" s="7">
        <f>+Q3*0.5</f>
        <v>613.74225000000013</v>
      </c>
      <c r="S3" s="7">
        <f t="shared" ref="S3:Y3" si="1">+R3*0.1</f>
        <v>61.374225000000017</v>
      </c>
      <c r="T3" s="7">
        <f t="shared" si="1"/>
        <v>6.1374225000000022</v>
      </c>
      <c r="U3" s="7">
        <f t="shared" si="1"/>
        <v>0.61374225000000027</v>
      </c>
      <c r="V3" s="7">
        <f t="shared" si="1"/>
        <v>6.1374225000000032E-2</v>
      </c>
      <c r="W3" s="7">
        <f t="shared" si="1"/>
        <v>6.1374225000000032E-3</v>
      </c>
      <c r="X3" s="7">
        <f t="shared" si="1"/>
        <v>6.1374225000000032E-4</v>
      </c>
      <c r="Y3" s="7">
        <f t="shared" si="1"/>
        <v>6.1374225000000035E-5</v>
      </c>
    </row>
    <row r="4" spans="1:25" s="7" customFormat="1" x14ac:dyDescent="0.2">
      <c r="B4" s="7" t="s">
        <v>19</v>
      </c>
      <c r="C4" s="7">
        <v>20.399999999999999</v>
      </c>
      <c r="D4" s="7">
        <f>C4+2</f>
        <v>22.4</v>
      </c>
      <c r="E4" s="7">
        <v>23.9</v>
      </c>
      <c r="F4" s="7">
        <v>24.4</v>
      </c>
      <c r="G4" s="7">
        <v>25.6</v>
      </c>
      <c r="H4" s="7">
        <v>24.5</v>
      </c>
      <c r="I4" s="7">
        <f>+H4+1</f>
        <v>25.5</v>
      </c>
      <c r="J4" s="7">
        <f>+I4+1</f>
        <v>26.5</v>
      </c>
      <c r="M4" s="7">
        <f>SUM(C4:F4)</f>
        <v>91.1</v>
      </c>
      <c r="N4" s="7">
        <f>SUM(G4:J4)</f>
        <v>102.1</v>
      </c>
      <c r="O4" s="7">
        <f t="shared" ref="O4:Y4" si="2">N4*1.01</f>
        <v>103.121</v>
      </c>
      <c r="P4" s="7">
        <f t="shared" si="2"/>
        <v>104.15221</v>
      </c>
      <c r="Q4" s="7">
        <f t="shared" si="2"/>
        <v>105.19373209999999</v>
      </c>
      <c r="R4" s="7">
        <f t="shared" si="2"/>
        <v>106.24566942099999</v>
      </c>
      <c r="S4" s="7">
        <f t="shared" si="2"/>
        <v>107.30812611520999</v>
      </c>
      <c r="T4" s="7">
        <f t="shared" si="2"/>
        <v>108.38120737636208</v>
      </c>
      <c r="U4" s="7">
        <f t="shared" si="2"/>
        <v>109.46501945012571</v>
      </c>
      <c r="V4" s="7">
        <f t="shared" si="2"/>
        <v>110.55966964462696</v>
      </c>
      <c r="W4" s="7">
        <f t="shared" si="2"/>
        <v>111.66526634107323</v>
      </c>
      <c r="X4" s="7">
        <f t="shared" si="2"/>
        <v>112.78191900448397</v>
      </c>
      <c r="Y4" s="7">
        <f t="shared" si="2"/>
        <v>113.90973819452881</v>
      </c>
    </row>
    <row r="5" spans="1:25" s="7" customFormat="1" x14ac:dyDescent="0.2">
      <c r="B5" s="7" t="s">
        <v>32</v>
      </c>
      <c r="C5" s="7">
        <v>6.0460000000000003</v>
      </c>
      <c r="D5" s="7">
        <v>5.3239999999999998</v>
      </c>
      <c r="E5" s="7">
        <v>11.217000000000001</v>
      </c>
      <c r="F5" s="7">
        <v>7.7220000000000004</v>
      </c>
      <c r="G5" s="7">
        <v>9.25</v>
      </c>
      <c r="H5" s="7">
        <v>20.548999999999999</v>
      </c>
      <c r="M5" s="7">
        <f>SUM(C5:F5)</f>
        <v>30.309000000000005</v>
      </c>
      <c r="N5" s="7">
        <f>SUM(G5:J5)</f>
        <v>29.798999999999999</v>
      </c>
    </row>
    <row r="6" spans="1:25" s="20" customFormat="1" x14ac:dyDescent="0.2">
      <c r="B6" s="20" t="s">
        <v>31</v>
      </c>
      <c r="C6" s="20">
        <f>C4+C5+C3</f>
        <v>44.845999999999997</v>
      </c>
      <c r="D6" s="20">
        <f>D4+D5+D3</f>
        <v>95.024000000000001</v>
      </c>
      <c r="E6" s="20">
        <f t="shared" ref="E6:J6" si="3">E4+E5+E3</f>
        <v>110.417</v>
      </c>
      <c r="F6" s="20">
        <f t="shared" si="3"/>
        <v>146.422</v>
      </c>
      <c r="G6" s="20">
        <f t="shared" si="3"/>
        <v>172.35</v>
      </c>
      <c r="H6" s="20">
        <f t="shared" si="3"/>
        <v>199.649</v>
      </c>
      <c r="I6" s="20">
        <f t="shared" si="3"/>
        <v>205.1</v>
      </c>
      <c r="J6" s="20">
        <f t="shared" si="3"/>
        <v>231.1</v>
      </c>
      <c r="M6" s="20">
        <f>SUM(M3:M5)</f>
        <v>396.709</v>
      </c>
      <c r="N6" s="20">
        <f t="shared" ref="N6:Y6" si="4">SUM(N3:N5)</f>
        <v>808.19900000000007</v>
      </c>
      <c r="O6" s="20">
        <f t="shared" si="4"/>
        <v>1117.5710000000001</v>
      </c>
      <c r="P6" s="20">
        <f t="shared" si="4"/>
        <v>1220.0472100000002</v>
      </c>
      <c r="Q6" s="20">
        <f t="shared" si="4"/>
        <v>1332.6782321000003</v>
      </c>
      <c r="R6" s="20">
        <f t="shared" si="4"/>
        <v>719.98791942100013</v>
      </c>
      <c r="S6" s="20">
        <f t="shared" si="4"/>
        <v>168.68235111521</v>
      </c>
      <c r="T6" s="20">
        <f t="shared" si="4"/>
        <v>114.51862987636208</v>
      </c>
      <c r="U6" s="20">
        <f t="shared" si="4"/>
        <v>110.07876170012571</v>
      </c>
      <c r="V6" s="20">
        <f t="shared" si="4"/>
        <v>110.62104386962696</v>
      </c>
      <c r="W6" s="20">
        <f t="shared" si="4"/>
        <v>111.67140376357324</v>
      </c>
      <c r="X6" s="20">
        <f t="shared" si="4"/>
        <v>112.78253274673396</v>
      </c>
      <c r="Y6" s="20">
        <f t="shared" si="4"/>
        <v>113.90979956875381</v>
      </c>
    </row>
    <row r="7" spans="1:25" s="7" customFormat="1" x14ac:dyDescent="0.2">
      <c r="B7" s="7" t="s">
        <v>35</v>
      </c>
      <c r="C7" s="7">
        <v>7.8090000000000002</v>
      </c>
      <c r="D7" s="7">
        <v>8.3789999999999996</v>
      </c>
      <c r="E7" s="7">
        <v>22.41</v>
      </c>
      <c r="F7" s="7">
        <v>19.911999999999999</v>
      </c>
      <c r="G7" s="7">
        <v>20.209</v>
      </c>
      <c r="H7" s="7">
        <v>23.1</v>
      </c>
      <c r="I7" s="7">
        <f>+I6-I8</f>
        <v>20.509999999999991</v>
      </c>
      <c r="J7" s="7">
        <f>+J6-J8</f>
        <v>23.109999999999985</v>
      </c>
      <c r="M7" s="7">
        <f>SUM(C7:F7)</f>
        <v>58.51</v>
      </c>
      <c r="N7" s="7">
        <f>SUM(G7:J7)</f>
        <v>86.928999999999974</v>
      </c>
    </row>
    <row r="8" spans="1:25" s="7" customFormat="1" x14ac:dyDescent="0.2">
      <c r="B8" s="7" t="s">
        <v>36</v>
      </c>
      <c r="C8" s="7">
        <f>C6-C7</f>
        <v>37.036999999999999</v>
      </c>
      <c r="D8" s="7">
        <f>D6*0.85</f>
        <v>80.770399999999995</v>
      </c>
      <c r="E8" s="7">
        <f>+E6-E7</f>
        <v>88.007000000000005</v>
      </c>
      <c r="F8" s="7">
        <f>+F6-F7</f>
        <v>126.50999999999999</v>
      </c>
      <c r="G8" s="7">
        <f>+G6-G7</f>
        <v>152.14099999999999</v>
      </c>
      <c r="H8" s="7">
        <f>+H6-H7</f>
        <v>176.54900000000001</v>
      </c>
      <c r="I8" s="7">
        <f>+I6*0.9</f>
        <v>184.59</v>
      </c>
      <c r="J8" s="7">
        <f>+J6*0.9</f>
        <v>207.99</v>
      </c>
      <c r="M8" s="7">
        <f>+M6-M7</f>
        <v>338.19900000000001</v>
      </c>
      <c r="N8" s="7">
        <f>+N6-N7</f>
        <v>721.2700000000001</v>
      </c>
      <c r="O8" s="7">
        <f>+O6*0.9</f>
        <v>1005.8139000000001</v>
      </c>
      <c r="P8" s="7">
        <f>+P6*0.9</f>
        <v>1098.0424890000002</v>
      </c>
      <c r="Q8" s="7">
        <f>+Q6*0.9</f>
        <v>1199.4104088900003</v>
      </c>
    </row>
    <row r="9" spans="1:25" s="7" customFormat="1" x14ac:dyDescent="0.2">
      <c r="B9" s="7" t="s">
        <v>37</v>
      </c>
      <c r="C9" s="7">
        <v>110.027</v>
      </c>
      <c r="D9" s="7">
        <v>95.658000000000001</v>
      </c>
      <c r="E9" s="7">
        <v>79.421000000000006</v>
      </c>
      <c r="F9" s="7">
        <v>69.281999999999996</v>
      </c>
      <c r="G9" s="7">
        <v>84.700999999999993</v>
      </c>
      <c r="H9" s="7">
        <v>77.947000000000003</v>
      </c>
      <c r="M9" s="7">
        <f>SUM(C9:F9)</f>
        <v>354.38799999999998</v>
      </c>
      <c r="N9" s="7">
        <f>SUM(G9:J9)</f>
        <v>162.648</v>
      </c>
    </row>
    <row r="10" spans="1:25" s="7" customFormat="1" x14ac:dyDescent="0.2">
      <c r="B10" s="7" t="s">
        <v>38</v>
      </c>
      <c r="C10" s="7">
        <v>102.093</v>
      </c>
      <c r="D10" s="7">
        <v>111.373</v>
      </c>
      <c r="E10" s="7">
        <v>145.648</v>
      </c>
      <c r="F10" s="7">
        <v>141.70099999999999</v>
      </c>
      <c r="G10" s="7">
        <v>129.505</v>
      </c>
      <c r="H10" s="7">
        <v>128.08099999999999</v>
      </c>
      <c r="I10" s="7">
        <f>+E10</f>
        <v>145.648</v>
      </c>
      <c r="J10" s="7">
        <f>+F10</f>
        <v>141.70099999999999</v>
      </c>
      <c r="M10" s="7">
        <f>SUM(C10:F10)</f>
        <v>500.81500000000005</v>
      </c>
      <c r="N10" s="7">
        <f>SUM(G10:J10)</f>
        <v>544.93500000000006</v>
      </c>
      <c r="O10" s="7">
        <f>+N10*0.5</f>
        <v>272.46750000000003</v>
      </c>
      <c r="P10" s="7">
        <f>+O10*0.5</f>
        <v>136.23375000000001</v>
      </c>
      <c r="Q10" s="7">
        <f>+P10*0.5</f>
        <v>68.116875000000007</v>
      </c>
    </row>
    <row r="11" spans="1:25" s="7" customFormat="1" x14ac:dyDescent="0.2">
      <c r="B11" s="7" t="s">
        <v>34</v>
      </c>
      <c r="C11" s="7">
        <f>C9+C10</f>
        <v>212.12</v>
      </c>
      <c r="D11" s="7">
        <f t="shared" ref="D11:F11" si="5">D9+D10</f>
        <v>207.03100000000001</v>
      </c>
      <c r="E11" s="7">
        <f t="shared" si="5"/>
        <v>225.06900000000002</v>
      </c>
      <c r="F11" s="7">
        <f t="shared" si="5"/>
        <v>210.983</v>
      </c>
      <c r="G11" s="7">
        <f>+G9+G10</f>
        <v>214.20599999999999</v>
      </c>
      <c r="H11" s="7">
        <f>+H9+H10</f>
        <v>206.02799999999999</v>
      </c>
      <c r="I11" s="7">
        <f t="shared" ref="I11:J11" si="6">+I9+I10</f>
        <v>145.648</v>
      </c>
      <c r="J11" s="7">
        <f t="shared" si="6"/>
        <v>141.70099999999999</v>
      </c>
      <c r="M11" s="7">
        <f>+M10+M9</f>
        <v>855.20299999999997</v>
      </c>
      <c r="N11" s="7">
        <f>+N10+N9</f>
        <v>707.58300000000008</v>
      </c>
      <c r="O11" s="7">
        <f t="shared" ref="O11:P11" si="7">+O10+O9</f>
        <v>272.46750000000003</v>
      </c>
      <c r="P11" s="7">
        <f t="shared" si="7"/>
        <v>136.23375000000001</v>
      </c>
      <c r="Q11" s="7">
        <f t="shared" ref="Q11" si="8">+Q10+Q9</f>
        <v>68.116875000000007</v>
      </c>
    </row>
    <row r="12" spans="1:25" s="7" customFormat="1" x14ac:dyDescent="0.2">
      <c r="B12" s="7" t="s">
        <v>33</v>
      </c>
      <c r="C12" s="7">
        <f>C8-C11</f>
        <v>-175.083</v>
      </c>
      <c r="D12" s="7">
        <f t="shared" ref="D12:F12" si="9">D8-D11</f>
        <v>-126.26060000000001</v>
      </c>
      <c r="E12" s="7">
        <f t="shared" si="9"/>
        <v>-137.06200000000001</v>
      </c>
      <c r="F12" s="7">
        <f t="shared" si="9"/>
        <v>-84.473000000000013</v>
      </c>
      <c r="G12" s="7">
        <f>+G8-G11</f>
        <v>-62.064999999999998</v>
      </c>
      <c r="H12" s="7">
        <f>+H8-H11</f>
        <v>-29.478999999999985</v>
      </c>
      <c r="I12" s="7">
        <f t="shared" ref="I12:J12" si="10">+I8-I11</f>
        <v>38.942000000000007</v>
      </c>
      <c r="J12" s="7">
        <f t="shared" si="10"/>
        <v>66.289000000000016</v>
      </c>
      <c r="M12" s="7">
        <f>+M8-M11</f>
        <v>-517.00399999999991</v>
      </c>
      <c r="N12" s="7">
        <f>+N8-N11</f>
        <v>13.687000000000012</v>
      </c>
      <c r="O12" s="7">
        <f t="shared" ref="O12:P12" si="11">+O8-O11</f>
        <v>733.34640000000013</v>
      </c>
      <c r="P12" s="7">
        <f t="shared" si="11"/>
        <v>961.80873900000017</v>
      </c>
      <c r="Q12" s="7">
        <f t="shared" ref="Q12" si="12">+Q8-Q11</f>
        <v>1131.2935338900004</v>
      </c>
    </row>
    <row r="13" spans="1:25" s="7" customFormat="1" x14ac:dyDescent="0.2">
      <c r="B13" s="7" t="s">
        <v>42</v>
      </c>
      <c r="C13" s="7">
        <f>5.393-7.529-0.277</f>
        <v>-2.4130000000000003</v>
      </c>
      <c r="D13" s="7">
        <f>6.002-7.341</f>
        <v>-1.3390000000000004</v>
      </c>
      <c r="E13" s="7">
        <f>4.989-7.31</f>
        <v>-2.3209999999999997</v>
      </c>
      <c r="F13" s="7">
        <f>-7.402+4.548</f>
        <v>-2.8540000000000001</v>
      </c>
      <c r="G13" s="7">
        <f>3.303-6.967</f>
        <v>-3.6639999999999997</v>
      </c>
      <c r="H13" s="7">
        <f>3.184-9.359</f>
        <v>-6.1749999999999998</v>
      </c>
      <c r="M13" s="7">
        <f>SUM(C13:F13)</f>
        <v>-8.9269999999999996</v>
      </c>
      <c r="N13" s="7">
        <f>SUM(G13:J13)</f>
        <v>-9.8389999999999986</v>
      </c>
    </row>
    <row r="14" spans="1:25" s="7" customFormat="1" x14ac:dyDescent="0.2">
      <c r="B14" s="7" t="s">
        <v>41</v>
      </c>
      <c r="C14" s="7">
        <f>C12+C13</f>
        <v>-177.49600000000001</v>
      </c>
      <c r="D14" s="7">
        <f t="shared" ref="D14:F14" si="13">D12+D13</f>
        <v>-127.59960000000001</v>
      </c>
      <c r="E14" s="7">
        <f t="shared" si="13"/>
        <v>-139.38300000000001</v>
      </c>
      <c r="F14" s="7">
        <f t="shared" si="13"/>
        <v>-87.327000000000012</v>
      </c>
      <c r="G14" s="7">
        <f>+G12+G13</f>
        <v>-65.728999999999999</v>
      </c>
      <c r="H14" s="7">
        <f>+H12+H13</f>
        <v>-35.653999999999982</v>
      </c>
      <c r="I14" s="7">
        <f>+I12+I13</f>
        <v>38.942000000000007</v>
      </c>
      <c r="J14" s="7">
        <f>+J12+J13</f>
        <v>66.289000000000016</v>
      </c>
      <c r="M14" s="7">
        <f>+M12+M13</f>
        <v>-525.93099999999993</v>
      </c>
      <c r="N14" s="7">
        <f>+N12+N13</f>
        <v>3.8480000000000132</v>
      </c>
      <c r="O14" s="7">
        <f t="shared" ref="O14:P14" si="14">+O12+O13</f>
        <v>733.34640000000013</v>
      </c>
      <c r="P14" s="7">
        <f t="shared" si="14"/>
        <v>961.80873900000017</v>
      </c>
      <c r="Q14" s="7">
        <f t="shared" ref="Q14" si="15">+Q12+Q13</f>
        <v>1131.2935338900004</v>
      </c>
    </row>
    <row r="15" spans="1:25" s="7" customFormat="1" x14ac:dyDescent="0.2">
      <c r="B15" s="7" t="s">
        <v>40</v>
      </c>
      <c r="C15" s="7">
        <v>0.28199999999999997</v>
      </c>
      <c r="D15" s="7">
        <v>0.19400000000000001</v>
      </c>
      <c r="E15" s="7">
        <v>0.23300000000000001</v>
      </c>
      <c r="F15" s="7">
        <v>1.423</v>
      </c>
      <c r="G15" s="7">
        <v>0.17</v>
      </c>
      <c r="H15" s="7">
        <v>0.114</v>
      </c>
      <c r="M15" s="7">
        <f>SUM(C15:F15)</f>
        <v>2.1320000000000001</v>
      </c>
      <c r="N15" s="7">
        <f>SUM(G15:J15)</f>
        <v>0.28400000000000003</v>
      </c>
      <c r="O15" s="7">
        <f>+O14*0.1</f>
        <v>73.334640000000022</v>
      </c>
      <c r="P15" s="7">
        <f>+P14*0.2</f>
        <v>192.36174780000005</v>
      </c>
      <c r="Q15" s="7">
        <f>+Q14*0.2</f>
        <v>226.25870677800009</v>
      </c>
    </row>
    <row r="16" spans="1:25" s="7" customFormat="1" x14ac:dyDescent="0.2">
      <c r="B16" s="7" t="s">
        <v>39</v>
      </c>
      <c r="C16" s="7">
        <f>C14-C15</f>
        <v>-177.77800000000002</v>
      </c>
      <c r="D16" s="7">
        <f t="shared" ref="D16:F16" si="16">D14-D15</f>
        <v>-127.79360000000001</v>
      </c>
      <c r="E16" s="7">
        <f t="shared" si="16"/>
        <v>-139.61600000000001</v>
      </c>
      <c r="F16" s="7">
        <f t="shared" si="16"/>
        <v>-88.750000000000014</v>
      </c>
      <c r="G16" s="7">
        <f>+G14-G15</f>
        <v>-65.899000000000001</v>
      </c>
      <c r="H16" s="7">
        <f>+H14-H15</f>
        <v>-35.767999999999979</v>
      </c>
      <c r="I16" s="7">
        <f>+I14-I15</f>
        <v>38.942000000000007</v>
      </c>
      <c r="J16" s="7">
        <f>+J14-J15</f>
        <v>66.289000000000016</v>
      </c>
      <c r="M16" s="7">
        <f>+M14-M15</f>
        <v>-528.06299999999987</v>
      </c>
      <c r="N16" s="7">
        <f>+N14-N15</f>
        <v>3.5640000000000134</v>
      </c>
      <c r="O16" s="7">
        <f t="shared" ref="O16:P16" si="17">+O14-O15</f>
        <v>660.01176000000009</v>
      </c>
      <c r="P16" s="7">
        <f t="shared" si="17"/>
        <v>769.44699120000018</v>
      </c>
      <c r="Q16" s="7">
        <f t="shared" ref="Q16" si="18">+Q14-Q15</f>
        <v>905.03482711200036</v>
      </c>
    </row>
    <row r="17" spans="2:17" x14ac:dyDescent="0.2">
      <c r="B17" s="7" t="s">
        <v>76</v>
      </c>
      <c r="C17" s="1">
        <f t="shared" ref="C17:J17" si="19">+C16/C18</f>
        <v>-1.561209076858227</v>
      </c>
      <c r="D17" s="1">
        <f t="shared" si="19"/>
        <v>-1.0710516611351371</v>
      </c>
      <c r="E17" s="1">
        <f t="shared" si="19"/>
        <v>-1.1606424367372727</v>
      </c>
      <c r="F17" s="1">
        <f t="shared" si="19"/>
        <v>-0.73206744093968601</v>
      </c>
      <c r="G17" s="1">
        <f t="shared" si="19"/>
        <v>-0.53595159283326699</v>
      </c>
      <c r="H17" s="1">
        <f t="shared" si="19"/>
        <v>-0.28867510330578494</v>
      </c>
      <c r="I17" s="1">
        <f t="shared" si="19"/>
        <v>0.31429170971074388</v>
      </c>
      <c r="J17" s="1">
        <f t="shared" si="19"/>
        <v>0.53500290547520679</v>
      </c>
      <c r="M17" s="1">
        <f t="shared" ref="M17:Q17" si="20">+M16/M18</f>
        <v>-4.4495441446603401</v>
      </c>
      <c r="N17" s="1">
        <f t="shared" si="20"/>
        <v>2.8819271068128493E-2</v>
      </c>
      <c r="O17" s="1">
        <f t="shared" si="20"/>
        <v>5.3369971435444725</v>
      </c>
      <c r="P17" s="1">
        <f t="shared" si="20"/>
        <v>6.2219139764165554</v>
      </c>
      <c r="Q17" s="1">
        <f t="shared" si="20"/>
        <v>7.3183063997299236</v>
      </c>
    </row>
    <row r="18" spans="2:17" x14ac:dyDescent="0.2">
      <c r="B18" s="7" t="s">
        <v>75</v>
      </c>
      <c r="C18" s="7">
        <v>113.872</v>
      </c>
      <c r="D18" s="7">
        <v>119.316</v>
      </c>
      <c r="E18" s="7">
        <v>120.292</v>
      </c>
      <c r="F18" s="7">
        <v>121.232</v>
      </c>
      <c r="G18" s="7">
        <v>122.95699999999999</v>
      </c>
      <c r="H18" s="7">
        <v>123.904</v>
      </c>
      <c r="I18" s="7">
        <f>+H18</f>
        <v>123.904</v>
      </c>
      <c r="J18" s="7">
        <f>+I18</f>
        <v>123.904</v>
      </c>
      <c r="M18" s="7">
        <f>AVERAGE(C18:F18)</f>
        <v>118.678</v>
      </c>
      <c r="N18" s="7">
        <f>AVERAGE(G18:J18)</f>
        <v>123.66725</v>
      </c>
      <c r="O18" s="7">
        <f>+N18</f>
        <v>123.66725</v>
      </c>
      <c r="P18" s="7">
        <f>+O18</f>
        <v>123.66725</v>
      </c>
      <c r="Q18" s="7">
        <f t="shared" ref="Q18" si="21">+P18</f>
        <v>123.66725</v>
      </c>
    </row>
    <row r="19" spans="2:17" x14ac:dyDescent="0.2">
      <c r="B19" s="7"/>
      <c r="H19" s="7"/>
    </row>
    <row r="20" spans="2:17" x14ac:dyDescent="0.2">
      <c r="B20" s="7" t="s">
        <v>77</v>
      </c>
      <c r="E20" s="22"/>
      <c r="F20" s="22"/>
      <c r="G20" s="22">
        <f>+G6/C6-1</f>
        <v>2.8431521205904655</v>
      </c>
      <c r="H20" s="22">
        <f>+H6/D6-1</f>
        <v>1.1010376325980804</v>
      </c>
      <c r="I20" s="22">
        <f>+I6/E6-1</f>
        <v>0.85750382640354283</v>
      </c>
      <c r="J20" s="22">
        <f>+J6/F6-1</f>
        <v>0.57831473412465328</v>
      </c>
      <c r="N20" s="22">
        <f>+N6/M6-1</f>
        <v>1.0372590488242013</v>
      </c>
      <c r="O20" s="22">
        <f t="shared" ref="O20:Q20" si="22">+O6/N6-1</f>
        <v>0.38279186190529813</v>
      </c>
      <c r="P20" s="22">
        <f t="shared" si="22"/>
        <v>9.1695480645077598E-2</v>
      </c>
      <c r="Q20" s="22">
        <f t="shared" si="22"/>
        <v>9.2316937555227963E-2</v>
      </c>
    </row>
    <row r="21" spans="2:17" x14ac:dyDescent="0.2">
      <c r="B21" s="7" t="s">
        <v>70</v>
      </c>
      <c r="C21" s="22">
        <f>C8/C6</f>
        <v>0.82587075770414309</v>
      </c>
      <c r="D21" s="22">
        <f t="shared" ref="D21:J21" si="23">D8/D6</f>
        <v>0.85</v>
      </c>
      <c r="E21" s="22">
        <f t="shared" si="23"/>
        <v>0.79704212213698977</v>
      </c>
      <c r="F21" s="22">
        <f t="shared" si="23"/>
        <v>0.86400950676810861</v>
      </c>
      <c r="G21" s="22">
        <f t="shared" si="23"/>
        <v>0.88274441543371041</v>
      </c>
      <c r="H21" s="22">
        <f t="shared" si="23"/>
        <v>0.88429694113168611</v>
      </c>
      <c r="I21" s="22">
        <f t="shared" si="23"/>
        <v>0.9</v>
      </c>
      <c r="J21" s="22">
        <f t="shared" si="23"/>
        <v>0.9</v>
      </c>
      <c r="K21" s="22"/>
    </row>
    <row r="23" spans="2:17" x14ac:dyDescent="0.2">
      <c r="B23" s="7" t="s">
        <v>60</v>
      </c>
      <c r="C23" s="7">
        <f>C24-C38</f>
        <v>673.54899999999998</v>
      </c>
    </row>
    <row r="24" spans="2:17" x14ac:dyDescent="0.2">
      <c r="B24" t="s">
        <v>9</v>
      </c>
      <c r="C24" s="7">
        <f>765.083+1.275</f>
        <v>766.35799999999995</v>
      </c>
    </row>
    <row r="25" spans="2:17" x14ac:dyDescent="0.2">
      <c r="B25" t="s">
        <v>47</v>
      </c>
      <c r="C25" s="7">
        <v>31.504999999999999</v>
      </c>
    </row>
    <row r="26" spans="2:17" x14ac:dyDescent="0.2">
      <c r="B26" t="s">
        <v>48</v>
      </c>
      <c r="C26" s="7">
        <v>85.483999999999995</v>
      </c>
    </row>
    <row r="27" spans="2:17" x14ac:dyDescent="0.2">
      <c r="B27" t="s">
        <v>49</v>
      </c>
      <c r="C27" s="7">
        <v>36.558999999999997</v>
      </c>
    </row>
    <row r="28" spans="2:17" x14ac:dyDescent="0.2">
      <c r="B28" t="s">
        <v>50</v>
      </c>
      <c r="C28" s="7">
        <v>34.348999999999997</v>
      </c>
    </row>
    <row r="29" spans="2:17" x14ac:dyDescent="0.2">
      <c r="B29" t="s">
        <v>51</v>
      </c>
      <c r="C29" s="7">
        <v>17.853999999999999</v>
      </c>
    </row>
    <row r="30" spans="2:17" x14ac:dyDescent="0.2">
      <c r="B30" t="s">
        <v>52</v>
      </c>
      <c r="C30" s="7">
        <v>5.9669999999999996</v>
      </c>
    </row>
    <row r="31" spans="2:17" x14ac:dyDescent="0.2">
      <c r="B31" t="s">
        <v>53</v>
      </c>
      <c r="C31" s="7">
        <v>0.79300000000000004</v>
      </c>
    </row>
    <row r="32" spans="2:17" x14ac:dyDescent="0.2">
      <c r="B32" t="s">
        <v>54</v>
      </c>
      <c r="C32" s="7">
        <f>SUM(C24:C31)</f>
        <v>978.86900000000003</v>
      </c>
    </row>
    <row r="33" spans="2:3" x14ac:dyDescent="0.2">
      <c r="C33" s="7"/>
    </row>
    <row r="34" spans="2:3" x14ac:dyDescent="0.2">
      <c r="B34" t="s">
        <v>57</v>
      </c>
      <c r="C34" s="7">
        <v>31.494</v>
      </c>
    </row>
    <row r="35" spans="2:3" x14ac:dyDescent="0.2">
      <c r="B35" t="s">
        <v>58</v>
      </c>
      <c r="C35" s="7">
        <v>71.251000000000005</v>
      </c>
    </row>
    <row r="36" spans="2:3" x14ac:dyDescent="0.2">
      <c r="B36" t="s">
        <v>59</v>
      </c>
      <c r="C36" s="7">
        <f>30.071+321.713</f>
        <v>351.78400000000005</v>
      </c>
    </row>
    <row r="37" spans="2:3" x14ac:dyDescent="0.2">
      <c r="B37" t="s">
        <v>51</v>
      </c>
      <c r="C37" s="7">
        <f>5.828+13.233</f>
        <v>19.061</v>
      </c>
    </row>
    <row r="38" spans="2:3" x14ac:dyDescent="0.2">
      <c r="B38" t="s">
        <v>10</v>
      </c>
      <c r="C38" s="7">
        <v>92.808999999999997</v>
      </c>
    </row>
    <row r="39" spans="2:3" x14ac:dyDescent="0.2">
      <c r="B39" t="s">
        <v>53</v>
      </c>
      <c r="C39" s="7">
        <v>0.34699999999999998</v>
      </c>
    </row>
    <row r="40" spans="2:3" x14ac:dyDescent="0.2">
      <c r="B40" t="s">
        <v>56</v>
      </c>
      <c r="C40" s="7">
        <v>412.12299999999999</v>
      </c>
    </row>
    <row r="41" spans="2:3" x14ac:dyDescent="0.2">
      <c r="B41" t="s">
        <v>55</v>
      </c>
      <c r="C41" s="7">
        <f>SUM(C34:C40)</f>
        <v>978.86899999999991</v>
      </c>
    </row>
    <row r="42" spans="2:3" x14ac:dyDescent="0.2">
      <c r="C42" s="7"/>
    </row>
  </sheetData>
  <hyperlinks>
    <hyperlink ref="A1" location="Main!A1" display="Main" xr:uid="{DA17328F-64FB-4DF9-9BE3-2A05593A4F6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44E-3A9A-47B3-8A31-8E621049E97B}">
  <dimension ref="A1:C32"/>
  <sheetViews>
    <sheetView tabSelected="1" zoomScaleNormal="100" workbookViewId="0">
      <selection activeCell="F42" sqref="F42"/>
    </sheetView>
  </sheetViews>
  <sheetFormatPr defaultRowHeight="12.75" x14ac:dyDescent="0.2"/>
  <cols>
    <col min="1" max="1" width="5" bestFit="1" customWidth="1"/>
    <col min="2" max="2" width="26.140625" customWidth="1"/>
  </cols>
  <sheetData>
    <row r="1" spans="1:3" x14ac:dyDescent="0.2">
      <c r="A1" s="9" t="s">
        <v>13</v>
      </c>
    </row>
    <row r="3" spans="1:3" x14ac:dyDescent="0.2">
      <c r="B3" s="24" t="s">
        <v>1</v>
      </c>
      <c r="C3" t="s">
        <v>79</v>
      </c>
    </row>
    <row r="4" spans="1:3" x14ac:dyDescent="0.2">
      <c r="B4" s="24" t="s">
        <v>81</v>
      </c>
      <c r="C4" t="s">
        <v>82</v>
      </c>
    </row>
    <row r="5" spans="1:3" x14ac:dyDescent="0.2">
      <c r="B5" s="24" t="s">
        <v>83</v>
      </c>
      <c r="C5" t="s">
        <v>84</v>
      </c>
    </row>
    <row r="6" spans="1:3" x14ac:dyDescent="0.2">
      <c r="B6" s="24" t="s">
        <v>85</v>
      </c>
      <c r="C6" t="s">
        <v>80</v>
      </c>
    </row>
    <row r="7" spans="1:3" x14ac:dyDescent="0.2">
      <c r="B7" s="24" t="s">
        <v>86</v>
      </c>
      <c r="C7" t="s">
        <v>87</v>
      </c>
    </row>
    <row r="8" spans="1:3" x14ac:dyDescent="0.2">
      <c r="B8" s="24" t="s">
        <v>15</v>
      </c>
      <c r="C8" t="s">
        <v>88</v>
      </c>
    </row>
    <row r="9" spans="1:3" x14ac:dyDescent="0.2">
      <c r="B9" s="24"/>
    </row>
    <row r="10" spans="1:3" x14ac:dyDescent="0.2">
      <c r="B10" s="24" t="s">
        <v>89</v>
      </c>
    </row>
    <row r="11" spans="1:3" x14ac:dyDescent="0.2">
      <c r="B11" t="s">
        <v>90</v>
      </c>
    </row>
    <row r="12" spans="1:3" x14ac:dyDescent="0.2">
      <c r="B12" t="s">
        <v>91</v>
      </c>
    </row>
    <row r="14" spans="1:3" x14ac:dyDescent="0.2">
      <c r="B14" s="10" t="s">
        <v>92</v>
      </c>
    </row>
    <row r="15" spans="1:3" x14ac:dyDescent="0.2">
      <c r="B15" s="24"/>
    </row>
    <row r="16" spans="1:3" x14ac:dyDescent="0.2">
      <c r="B16" s="24" t="s">
        <v>93</v>
      </c>
    </row>
    <row r="17" spans="2:3" x14ac:dyDescent="0.2">
      <c r="B17" t="s">
        <v>94</v>
      </c>
    </row>
    <row r="18" spans="2:3" x14ac:dyDescent="0.2">
      <c r="B18" t="s">
        <v>95</v>
      </c>
      <c r="C18" s="10"/>
    </row>
    <row r="19" spans="2:3" x14ac:dyDescent="0.2">
      <c r="B19" t="s">
        <v>96</v>
      </c>
    </row>
    <row r="21" spans="2:3" x14ac:dyDescent="0.2">
      <c r="B21" s="24" t="s">
        <v>97</v>
      </c>
      <c r="C21" s="10"/>
    </row>
    <row r="22" spans="2:3" x14ac:dyDescent="0.2">
      <c r="B22" t="s">
        <v>98</v>
      </c>
    </row>
    <row r="23" spans="2:3" x14ac:dyDescent="0.2">
      <c r="B23" t="s">
        <v>99</v>
      </c>
    </row>
    <row r="24" spans="2:3" x14ac:dyDescent="0.2">
      <c r="C24" s="10"/>
    </row>
    <row r="25" spans="2:3" x14ac:dyDescent="0.2">
      <c r="B25" s="24" t="s">
        <v>100</v>
      </c>
    </row>
    <row r="26" spans="2:3" x14ac:dyDescent="0.2">
      <c r="B26" t="s">
        <v>101</v>
      </c>
    </row>
    <row r="27" spans="2:3" x14ac:dyDescent="0.2">
      <c r="C27" s="10"/>
    </row>
    <row r="28" spans="2:3" x14ac:dyDescent="0.2">
      <c r="B28" s="24" t="s">
        <v>102</v>
      </c>
    </row>
    <row r="29" spans="2:3" x14ac:dyDescent="0.2">
      <c r="B29" t="s">
        <v>103</v>
      </c>
    </row>
    <row r="31" spans="2:3" x14ac:dyDescent="0.2">
      <c r="B31" s="24" t="s">
        <v>104</v>
      </c>
    </row>
    <row r="32" spans="2:3" x14ac:dyDescent="0.2">
      <c r="B32" t="s">
        <v>105</v>
      </c>
    </row>
  </sheetData>
  <hyperlinks>
    <hyperlink ref="A1" location="Main!A1" display="Main" xr:uid="{CC1467D0-E7D7-4B93-815E-D580539CE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130A-B0D6-4EE5-8C86-27298758E817}">
  <dimension ref="A1:C21"/>
  <sheetViews>
    <sheetView zoomScaleNormal="100" workbookViewId="0">
      <selection activeCell="M24" sqref="M24"/>
    </sheetView>
  </sheetViews>
  <sheetFormatPr defaultRowHeight="12.75" x14ac:dyDescent="0.2"/>
  <cols>
    <col min="1" max="1" width="5" bestFit="1" customWidth="1"/>
    <col min="2" max="2" width="16.7109375" bestFit="1" customWidth="1"/>
  </cols>
  <sheetData>
    <row r="1" spans="1:3" x14ac:dyDescent="0.2">
      <c r="A1" s="9" t="s">
        <v>13</v>
      </c>
    </row>
    <row r="2" spans="1:3" x14ac:dyDescent="0.2">
      <c r="B2" s="24" t="s">
        <v>1</v>
      </c>
      <c r="C2" t="s">
        <v>106</v>
      </c>
    </row>
    <row r="3" spans="1:3" x14ac:dyDescent="0.2">
      <c r="B3" s="24" t="s">
        <v>81</v>
      </c>
      <c r="C3" t="s">
        <v>82</v>
      </c>
    </row>
    <row r="4" spans="1:3" x14ac:dyDescent="0.2">
      <c r="B4" s="24" t="s">
        <v>4</v>
      </c>
      <c r="C4" t="s">
        <v>107</v>
      </c>
    </row>
    <row r="5" spans="1:3" x14ac:dyDescent="0.2">
      <c r="B5" s="24" t="s">
        <v>15</v>
      </c>
      <c r="C5" t="s">
        <v>108</v>
      </c>
    </row>
    <row r="6" spans="1:3" x14ac:dyDescent="0.2">
      <c r="B6" s="24" t="s">
        <v>109</v>
      </c>
      <c r="C6" t="s">
        <v>110</v>
      </c>
    </row>
    <row r="7" spans="1:3" x14ac:dyDescent="0.2">
      <c r="C7" s="10"/>
    </row>
    <row r="8" spans="1:3" x14ac:dyDescent="0.2">
      <c r="B8" s="10" t="s">
        <v>92</v>
      </c>
    </row>
    <row r="10" spans="1:3" x14ac:dyDescent="0.2">
      <c r="B10" s="24" t="s">
        <v>111</v>
      </c>
      <c r="C10" s="10"/>
    </row>
    <row r="11" spans="1:3" x14ac:dyDescent="0.2">
      <c r="B11" t="s">
        <v>112</v>
      </c>
    </row>
    <row r="12" spans="1:3" x14ac:dyDescent="0.2">
      <c r="B12" t="s">
        <v>113</v>
      </c>
    </row>
    <row r="13" spans="1:3" x14ac:dyDescent="0.2">
      <c r="B13" t="s">
        <v>114</v>
      </c>
      <c r="C13" s="10"/>
    </row>
    <row r="15" spans="1:3" x14ac:dyDescent="0.2">
      <c r="B15" s="24" t="s">
        <v>115</v>
      </c>
    </row>
    <row r="16" spans="1:3" x14ac:dyDescent="0.2">
      <c r="B16" t="s">
        <v>116</v>
      </c>
    </row>
    <row r="17" spans="2:2" x14ac:dyDescent="0.2">
      <c r="B17" t="s">
        <v>117</v>
      </c>
    </row>
    <row r="19" spans="2:2" x14ac:dyDescent="0.2">
      <c r="B19" s="24" t="s">
        <v>118</v>
      </c>
    </row>
    <row r="20" spans="2:2" x14ac:dyDescent="0.2">
      <c r="B20" t="s">
        <v>119</v>
      </c>
    </row>
    <row r="21" spans="2:2" x14ac:dyDescent="0.2">
      <c r="B21" t="s">
        <v>120</v>
      </c>
    </row>
  </sheetData>
  <hyperlinks>
    <hyperlink ref="A1" location="Main!A1" display="Main" xr:uid="{47222131-8AD3-4163-AFE9-A007369BBA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Empaveli</vt:lpstr>
      <vt:lpstr>Syfovre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2022-07-19T13:25:43Z</dcterms:created>
  <dcterms:modified xsi:type="dcterms:W3CDTF">2025-10-07T19:34:41Z</dcterms:modified>
</cp:coreProperties>
</file>