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B423D940-5507-4E71-9679-3BED0A53779E}" xr6:coauthVersionLast="47" xr6:coauthVersionMax="47" xr10:uidLastSave="{00000000-0000-0000-0000-000000000000}"/>
  <bookViews>
    <workbookView xWindow="0" yWindow="0" windowWidth="25800" windowHeight="21000" activeTab="1" xr2:uid="{0DAA4E62-F5A3-42B7-9991-5143FBFA4FA5}"/>
  </bookViews>
  <sheets>
    <sheet name="Main" sheetId="1" r:id="rId1"/>
    <sheet name="Model" sheetId="2" r:id="rId2"/>
    <sheet name="Vyvg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2" i="2" l="1"/>
  <c r="AX3" i="2"/>
  <c r="AW3" i="2"/>
  <c r="AV3" i="2"/>
  <c r="AU3" i="2"/>
  <c r="AU5" i="2"/>
  <c r="AU2" i="2"/>
  <c r="AV2" i="2" s="1"/>
  <c r="AW2" i="2" s="1"/>
  <c r="AX2" i="2" s="1"/>
  <c r="AT3" i="2"/>
  <c r="AT5" i="2" s="1"/>
  <c r="AT2" i="2"/>
  <c r="AI13" i="2"/>
  <c r="AI14" i="2" s="1"/>
  <c r="AI15" i="2" s="1"/>
  <c r="AR10" i="2"/>
  <c r="AR11" i="2" s="1"/>
  <c r="AQ10" i="2"/>
  <c r="AQ11" i="2" s="1"/>
  <c r="AP10" i="2"/>
  <c r="AP11" i="2" s="1"/>
  <c r="AO10" i="2"/>
  <c r="AO11" i="2" s="1"/>
  <c r="AN10" i="2"/>
  <c r="AN11" i="2" s="1"/>
  <c r="AM10" i="2"/>
  <c r="AM11" i="2" s="1"/>
  <c r="AL10" i="2"/>
  <c r="AL11" i="2" s="1"/>
  <c r="AK10" i="2"/>
  <c r="AK11" i="2" s="1"/>
  <c r="AJ10" i="2"/>
  <c r="AJ11" i="2" s="1"/>
  <c r="AI11" i="2"/>
  <c r="AI10" i="2"/>
  <c r="AS9" i="2"/>
  <c r="AS10" i="2" s="1"/>
  <c r="AR9" i="2"/>
  <c r="AQ9" i="2"/>
  <c r="AP9" i="2"/>
  <c r="AO9" i="2"/>
  <c r="AN9" i="2"/>
  <c r="AM9" i="2"/>
  <c r="AL9" i="2"/>
  <c r="AK9" i="2"/>
  <c r="AJ9" i="2"/>
  <c r="AI9" i="2"/>
  <c r="AR7" i="2"/>
  <c r="AQ7" i="2"/>
  <c r="AP7" i="2"/>
  <c r="AO7" i="2"/>
  <c r="AN7" i="2"/>
  <c r="AM7" i="2"/>
  <c r="AL7" i="2"/>
  <c r="AK7" i="2"/>
  <c r="AJ7" i="2"/>
  <c r="AI7" i="2"/>
  <c r="AR6" i="2"/>
  <c r="AQ6" i="2"/>
  <c r="AP6" i="2"/>
  <c r="AO6" i="2"/>
  <c r="AN6" i="2"/>
  <c r="AM6" i="2"/>
  <c r="AL6" i="2"/>
  <c r="AK6" i="2"/>
  <c r="AJ6" i="2"/>
  <c r="AI6" i="2"/>
  <c r="AS5" i="2"/>
  <c r="AR5" i="2"/>
  <c r="AQ5" i="2"/>
  <c r="AP5" i="2"/>
  <c r="AO5" i="2"/>
  <c r="AP3" i="2"/>
  <c r="AQ3" i="2" s="1"/>
  <c r="AR3" i="2" s="1"/>
  <c r="AS3" i="2" s="1"/>
  <c r="AO3" i="2"/>
  <c r="AS2" i="2"/>
  <c r="AR2" i="2"/>
  <c r="AQ2" i="2"/>
  <c r="AP2" i="2"/>
  <c r="AO2" i="2"/>
  <c r="AN5" i="2"/>
  <c r="AM5" i="2"/>
  <c r="AL5" i="2"/>
  <c r="AK5" i="2"/>
  <c r="AJ5" i="2"/>
  <c r="AI5" i="2"/>
  <c r="AF3" i="2"/>
  <c r="AG3" i="2"/>
  <c r="AH5" i="2"/>
  <c r="AH4" i="2"/>
  <c r="AH3" i="2"/>
  <c r="AI19" i="2" l="1"/>
  <c r="AU9" i="2"/>
  <c r="AU10" i="2" s="1"/>
  <c r="AU6" i="2"/>
  <c r="AU7" i="2" s="1"/>
  <c r="AU11" i="2" s="1"/>
  <c r="AT6" i="2"/>
  <c r="AT9" i="2"/>
  <c r="AT10" i="2" s="1"/>
  <c r="AT7" i="2"/>
  <c r="AT11" i="2" s="1"/>
  <c r="AS6" i="2"/>
  <c r="AS7" i="2" s="1"/>
  <c r="AS11" i="2" s="1"/>
  <c r="AJ12" i="2" l="1"/>
  <c r="AJ13" i="2" s="1"/>
  <c r="AV5" i="2"/>
  <c r="AJ14" i="2" l="1"/>
  <c r="AJ15" i="2"/>
  <c r="AW5" i="2"/>
  <c r="AX5" i="2"/>
  <c r="AV9" i="2"/>
  <c r="AV10" i="2" s="1"/>
  <c r="AV6" i="2"/>
  <c r="AV7" i="2"/>
  <c r="AV11" i="2" s="1"/>
  <c r="AJ19" i="2" l="1"/>
  <c r="AX9" i="2"/>
  <c r="AX10" i="2" s="1"/>
  <c r="AX6" i="2"/>
  <c r="AX7" i="2" s="1"/>
  <c r="AX11" i="2" s="1"/>
  <c r="AW6" i="2"/>
  <c r="AW7" i="2" s="1"/>
  <c r="AW9" i="2"/>
  <c r="AW10" i="2" s="1"/>
  <c r="AK12" i="2" l="1"/>
  <c r="AK13" i="2" s="1"/>
  <c r="AW11" i="2"/>
  <c r="AK14" i="2" l="1"/>
  <c r="AK15" i="2"/>
  <c r="AK19" i="2" l="1"/>
  <c r="AL12" i="2" l="1"/>
  <c r="AL13" i="2" s="1"/>
  <c r="AL14" i="2" l="1"/>
  <c r="AL15" i="2"/>
  <c r="AL19" i="2" l="1"/>
  <c r="AM12" i="2" l="1"/>
  <c r="AM13" i="2" s="1"/>
  <c r="AM14" i="2" l="1"/>
  <c r="AM15" i="2"/>
  <c r="AM19" i="2" l="1"/>
  <c r="AN12" i="2" l="1"/>
  <c r="AN13" i="2" s="1"/>
  <c r="AN14" i="2" l="1"/>
  <c r="AN15" i="2"/>
  <c r="AN19" i="2" l="1"/>
  <c r="AO12" i="2" l="1"/>
  <c r="AO13" i="2" s="1"/>
  <c r="AO14" i="2" l="1"/>
  <c r="AO15" i="2" s="1"/>
  <c r="AO19" i="2" s="1"/>
  <c r="AP12" i="2" l="1"/>
  <c r="AP13" i="2" s="1"/>
  <c r="AP14" i="2" l="1"/>
  <c r="AP15" i="2" s="1"/>
  <c r="AP19" i="2" s="1"/>
  <c r="AQ12" i="2" l="1"/>
  <c r="AQ13" i="2" s="1"/>
  <c r="AQ14" i="2" l="1"/>
  <c r="AQ15" i="2" s="1"/>
  <c r="AQ19" i="2" s="1"/>
  <c r="AR12" i="2" l="1"/>
  <c r="AR13" i="2" s="1"/>
  <c r="AR14" i="2" l="1"/>
  <c r="AR15" i="2" s="1"/>
  <c r="AR19" i="2" s="1"/>
  <c r="AS12" i="2" l="1"/>
  <c r="AS13" i="2" s="1"/>
  <c r="AS14" i="2" s="1"/>
  <c r="AS15" i="2" s="1"/>
  <c r="AS19" i="2" s="1"/>
  <c r="AT12" i="2" l="1"/>
  <c r="AT13" i="2" s="1"/>
  <c r="AT14" i="2" s="1"/>
  <c r="AT15" i="2" s="1"/>
  <c r="AT19" i="2" s="1"/>
  <c r="AU12" i="2" l="1"/>
  <c r="AU13" i="2" s="1"/>
  <c r="AU14" i="2" l="1"/>
  <c r="AU15" i="2"/>
  <c r="AU19" i="2" s="1"/>
  <c r="AV12" i="2" l="1"/>
  <c r="AV13" i="2" s="1"/>
  <c r="AV14" i="2" s="1"/>
  <c r="AV15" i="2" s="1"/>
  <c r="AV19" i="2" s="1"/>
  <c r="AW12" i="2" l="1"/>
  <c r="AW13" i="2" s="1"/>
  <c r="AW14" i="2" s="1"/>
  <c r="AW15" i="2" s="1"/>
  <c r="AW19" i="2" s="1"/>
  <c r="AX12" i="2" l="1"/>
  <c r="AX13" i="2" s="1"/>
  <c r="AX14" i="2" s="1"/>
  <c r="AX15" i="2" s="1"/>
  <c r="BA20" i="2" s="1"/>
  <c r="BA21" i="2" s="1"/>
  <c r="BA22" i="2" s="1"/>
  <c r="AX19" i="2" l="1"/>
  <c r="S16" i="2" l="1"/>
  <c r="S12" i="2"/>
  <c r="S7" i="2"/>
  <c r="S4" i="2"/>
  <c r="R16" i="2"/>
  <c r="R12" i="2"/>
  <c r="R7" i="2"/>
  <c r="R4" i="2"/>
  <c r="R5" i="2" s="1"/>
  <c r="V5" i="2"/>
  <c r="U13" i="2"/>
  <c r="U15" i="2" s="1"/>
  <c r="U16" i="2" s="1"/>
  <c r="U11" i="2"/>
  <c r="U10" i="2"/>
  <c r="U7" i="2"/>
  <c r="Q7" i="2"/>
  <c r="Q4" i="2"/>
  <c r="U4" i="2"/>
  <c r="U5" i="2"/>
  <c r="T13" i="2"/>
  <c r="T15" i="2" s="1"/>
  <c r="T16" i="2" s="1"/>
  <c r="P13" i="2"/>
  <c r="P15" i="2" s="1"/>
  <c r="P16" i="2" s="1"/>
  <c r="T10" i="2"/>
  <c r="T11" i="2" s="1"/>
  <c r="S10" i="2"/>
  <c r="S11" i="2" s="1"/>
  <c r="S13" i="2" s="1"/>
  <c r="S15" i="2" s="1"/>
  <c r="R10" i="2"/>
  <c r="R11" i="2" s="1"/>
  <c r="R13" i="2" s="1"/>
  <c r="R15" i="2" s="1"/>
  <c r="Q10" i="2"/>
  <c r="Q11" i="2" s="1"/>
  <c r="Q13" i="2" s="1"/>
  <c r="Q15" i="2" s="1"/>
  <c r="Q16" i="2" s="1"/>
  <c r="P11" i="2"/>
  <c r="P10" i="2"/>
  <c r="P7" i="2"/>
  <c r="T7" i="2"/>
  <c r="P4" i="2"/>
  <c r="T5" i="2"/>
  <c r="S5" i="2"/>
  <c r="Q5" i="2"/>
  <c r="P5" i="2"/>
  <c r="S3" i="2"/>
  <c r="T3" i="2" s="1"/>
  <c r="N12" i="2"/>
  <c r="N4" i="2"/>
  <c r="O12" i="2" l="1"/>
  <c r="N10" i="2"/>
  <c r="O10" i="2"/>
  <c r="N5" i="2"/>
  <c r="N7" i="2" s="1"/>
  <c r="O4" i="2"/>
  <c r="O5" i="2" s="1"/>
  <c r="O7" i="2" s="1"/>
  <c r="AD10" i="2"/>
  <c r="AD6" i="2"/>
  <c r="AD4" i="2"/>
  <c r="AD5" i="2" s="1"/>
  <c r="AE17" i="2"/>
  <c r="AE6" i="2"/>
  <c r="AE3" i="2"/>
  <c r="J14" i="2"/>
  <c r="AE14" i="2" s="1"/>
  <c r="J9" i="2"/>
  <c r="AE9" i="2" s="1"/>
  <c r="J8" i="2"/>
  <c r="G12" i="2"/>
  <c r="G4" i="2"/>
  <c r="G10" i="2"/>
  <c r="K12" i="2"/>
  <c r="K10" i="2"/>
  <c r="K4" i="2"/>
  <c r="K5" i="2" s="1"/>
  <c r="K7" i="2" s="1"/>
  <c r="K11" i="2" s="1"/>
  <c r="K13" i="2" s="1"/>
  <c r="K15" i="2" s="1"/>
  <c r="K16" i="2" s="1"/>
  <c r="H12" i="2"/>
  <c r="H10" i="2"/>
  <c r="L12" i="2"/>
  <c r="L10" i="2"/>
  <c r="H4" i="2"/>
  <c r="H5" i="2" s="1"/>
  <c r="H7" i="2" s="1"/>
  <c r="L4" i="2"/>
  <c r="I12" i="2"/>
  <c r="M12" i="2"/>
  <c r="I10" i="2"/>
  <c r="M10" i="2"/>
  <c r="L5" i="2"/>
  <c r="L7" i="2" s="1"/>
  <c r="I4" i="2"/>
  <c r="I5" i="2" s="1"/>
  <c r="I7" i="2" s="1"/>
  <c r="I11" i="2" s="1"/>
  <c r="I13" i="2" s="1"/>
  <c r="I15" i="2" s="1"/>
  <c r="I16" i="2" s="1"/>
  <c r="M4" i="2"/>
  <c r="M5" i="2" s="1"/>
  <c r="M7" i="2" s="1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K4" i="1"/>
  <c r="K7" i="1" s="1"/>
  <c r="J10" i="2" l="1"/>
  <c r="L11" i="2"/>
  <c r="L13" i="2" s="1"/>
  <c r="L15" i="2" s="1"/>
  <c r="L16" i="2" s="1"/>
  <c r="AE8" i="2"/>
  <c r="AE10" i="2" s="1"/>
  <c r="M11" i="2"/>
  <c r="M13" i="2" s="1"/>
  <c r="M15" i="2" s="1"/>
  <c r="M16" i="2" s="1"/>
  <c r="O11" i="2"/>
  <c r="O13" i="2" s="1"/>
  <c r="O15" i="2" s="1"/>
  <c r="O16" i="2" s="1"/>
  <c r="J4" i="2"/>
  <c r="J5" i="2" s="1"/>
  <c r="J7" i="2" s="1"/>
  <c r="J12" i="2"/>
  <c r="AE12" i="2" s="1"/>
  <c r="H11" i="2"/>
  <c r="H13" i="2" s="1"/>
  <c r="H15" i="2" s="1"/>
  <c r="H16" i="2" s="1"/>
  <c r="N11" i="2"/>
  <c r="N13" i="2" s="1"/>
  <c r="N15" i="2" s="1"/>
  <c r="N16" i="2" s="1"/>
  <c r="G5" i="2"/>
  <c r="G7" i="2" s="1"/>
  <c r="G11" i="2" s="1"/>
  <c r="G13" i="2" s="1"/>
  <c r="G15" i="2" s="1"/>
  <c r="G16" i="2" s="1"/>
  <c r="AD7" i="2"/>
  <c r="AD11" i="2" s="1"/>
  <c r="AD13" i="2" s="1"/>
  <c r="AD15" i="2" s="1"/>
  <c r="AD16" i="2" s="1"/>
  <c r="J11" i="2" l="1"/>
  <c r="J13" i="2"/>
  <c r="J15" i="2" s="1"/>
  <c r="J16" i="2" s="1"/>
  <c r="AE4" i="2"/>
  <c r="AE5" i="2" s="1"/>
  <c r="AE7" i="2" s="1"/>
  <c r="AE11" i="2" s="1"/>
  <c r="AE13" i="2" s="1"/>
  <c r="AE15" i="2" s="1"/>
  <c r="AE16" i="2" s="1"/>
</calcChain>
</file>

<file path=xl/sharedStrings.xml><?xml version="1.0" encoding="utf-8"?>
<sst xmlns="http://schemas.openxmlformats.org/spreadsheetml/2006/main" count="103" uniqueCount="94">
  <si>
    <t>Price</t>
  </si>
  <si>
    <t>Shares</t>
  </si>
  <si>
    <t>MC</t>
  </si>
  <si>
    <t>Cash</t>
  </si>
  <si>
    <t>Debt</t>
  </si>
  <si>
    <t>EV</t>
  </si>
  <si>
    <t>Vyvgart (efgartigimod)</t>
  </si>
  <si>
    <t>Name</t>
  </si>
  <si>
    <t>Indication</t>
  </si>
  <si>
    <t>gMG</t>
  </si>
  <si>
    <t>Economics</t>
  </si>
  <si>
    <t>Q322</t>
  </si>
  <si>
    <t>ARGX-119</t>
  </si>
  <si>
    <t>MOA</t>
  </si>
  <si>
    <t>C2</t>
  </si>
  <si>
    <t>MuSK agonist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</si>
  <si>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</si>
  <si>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</si>
  <si>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</si>
  <si>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</si>
  <si>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</si>
  <si>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</si>
  <si>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</si>
  <si>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</si>
  <si>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</si>
  <si>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</si>
  <si>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</si>
  <si>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</si>
  <si>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</si>
  <si>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Q123</t>
  </si>
  <si>
    <t>Q223</t>
  </si>
  <si>
    <t>Q323</t>
  </si>
  <si>
    <t>Q423</t>
  </si>
  <si>
    <t>Product</t>
  </si>
  <si>
    <t>Other</t>
  </si>
  <si>
    <t>Operating Income</t>
  </si>
  <si>
    <t>Operating Expenses</t>
  </si>
  <si>
    <t>COGS</t>
  </si>
  <si>
    <t>Gross Profit</t>
  </si>
  <si>
    <t>R&amp;D</t>
  </si>
  <si>
    <t>SG&amp;A</t>
  </si>
  <si>
    <t>EPS</t>
  </si>
  <si>
    <t>Net Income</t>
  </si>
  <si>
    <t>Taxes</t>
  </si>
  <si>
    <t>Pretax Income</t>
  </si>
  <si>
    <t>Interest Income</t>
  </si>
  <si>
    <t>Q224</t>
  </si>
  <si>
    <t>Q124</t>
  </si>
  <si>
    <t>Q324</t>
  </si>
  <si>
    <t>Q424</t>
  </si>
  <si>
    <t>ARGX-117 (empasiprubart)</t>
  </si>
  <si>
    <t>MMN, CIDP</t>
  </si>
  <si>
    <t>FcRn</t>
  </si>
  <si>
    <t>Brand</t>
  </si>
  <si>
    <t>Generic</t>
  </si>
  <si>
    <t>Regulatory</t>
  </si>
  <si>
    <t>Discount</t>
  </si>
  <si>
    <t>NPV</t>
  </si>
  <si>
    <t>ARGX-213</t>
  </si>
  <si>
    <t>ARGX-109</t>
  </si>
  <si>
    <t>IL-6</t>
  </si>
  <si>
    <t>ARGX-220</t>
  </si>
  <si>
    <t>sweeping mab</t>
  </si>
  <si>
    <t>Share</t>
  </si>
  <si>
    <t>ROIC</t>
  </si>
  <si>
    <t>Upside</t>
  </si>
  <si>
    <t>Clinical Trials:</t>
  </si>
  <si>
    <r>
      <t>Phase II – “Study 1602”</t>
    </r>
    <r>
      <rPr>
        <sz val="10"/>
        <color theme="1"/>
        <rFont val="Arial"/>
        <family val="2"/>
      </rPr>
      <t xml:space="preserve"> – n=24</t>
    </r>
  </si>
  <si>
    <t>Phase I – “Study 1501”</t>
  </si>
  <si>
    <t>Neonatal Fc Receptor (FcRn) antibody fragment that blocks IgG recycling, reducing pathogenic autoantibodies involved in neuromuscular and autoimmune diseases.</t>
  </si>
  <si>
    <t xml:space="preserve"> Vyvgart / Vyvgart Hytrulo</t>
  </si>
  <si>
    <t xml:space="preserve"> Efgartigimod alfa / Efgartigimod alfa and hyaluronidase-qvfc</t>
  </si>
  <si>
    <r>
      <t>Phase III – “ADAPT” (Study 1704)</t>
    </r>
    <r>
      <rPr>
        <sz val="10"/>
        <color theme="1"/>
        <rFont val="Arial"/>
        <family val="2"/>
      </rPr>
      <t xml:space="preserve"> – n=167, gMG</t>
    </r>
  </si>
  <si>
    <t>• 67.7% MG-ADL responders vs. 29.7% placebo</t>
  </si>
  <si>
    <t>• 63.1% QMG responders vs. 14.5% placebo</t>
  </si>
  <si>
    <t>• Rapid onset and durable improvement in muscle strength</t>
  </si>
  <si>
    <r>
      <t>Phase III – “ADHERE” (CIDP)</t>
    </r>
    <r>
      <rPr>
        <sz val="10"/>
        <color theme="1"/>
        <rFont val="Arial"/>
        <family val="2"/>
      </rPr>
      <t xml:space="preserve"> – n≈322</t>
    </r>
  </si>
  <si>
    <t>• 69% achieved functional improvement (I-RODS scale)</t>
  </si>
  <si>
    <t>• Led to FDA approval of Vyvgart Hytrulo in CIDP (June 2024)</t>
  </si>
  <si>
    <r>
      <t>Phase III – “ADDRESS” (PV)</t>
    </r>
    <r>
      <rPr>
        <sz val="10"/>
        <color theme="1"/>
        <rFont val="Arial"/>
        <family val="2"/>
      </rPr>
      <t xml:space="preserve"> – ongoing</t>
    </r>
  </si>
  <si>
    <t>• Evaluating efficacy in autoimmune blistering skin disorders (Pemphigus Vulgaris and Pemphigus Foliaceus)</t>
  </si>
  <si>
    <t>• Confirmed dose-dependent IgG reduction, supporting clinical benefit</t>
  </si>
  <si>
    <t>• Demonstrated safety, tolerability, and predictable pharmacokinetics</t>
  </si>
  <si>
    <t>• PV: Phase III ongoing</t>
  </si>
  <si>
    <t>• CIDP: Approved 2024 for Vyvgart Hytrulo (first FcRn antagonist in CIDP)</t>
  </si>
  <si>
    <t>• gMG: BLA 761195 approved 17 Dec 2021 (US), EU approval 2022</t>
  </si>
  <si>
    <t>• Generalized Myasthenia Gravis (gMG)</t>
  </si>
  <si>
    <t>• Chronic Inflammatory Demyelinating Polyneuropathy (CIDP)</t>
  </si>
  <si>
    <t>• Pemphigus Vulgaris (PV) – in development</t>
  </si>
  <si>
    <t>headquartered in Amsterdam, Netherlands, with major operations in Ghent and Boston (U.S.).</t>
  </si>
  <si>
    <r>
      <t>Hans de Haard</t>
    </r>
    <r>
      <rPr>
        <sz val="10"/>
        <color theme="1"/>
        <rFont val="Arial"/>
        <family val="2"/>
      </rPr>
      <t xml:space="preserve"> (Chief Scientific Officer)</t>
    </r>
  </si>
  <si>
    <r>
      <t>Torsten Dreier</t>
    </r>
    <r>
      <rPr>
        <sz val="10"/>
        <color theme="1"/>
        <rFont val="Arial"/>
        <family val="2"/>
      </rPr>
      <t xml:space="preserve"> (Chief Development Officer)</t>
    </r>
  </si>
  <si>
    <r>
      <t>Tim Van Hauwermeiren</t>
    </r>
    <r>
      <rPr>
        <sz val="10"/>
        <color theme="1"/>
        <rFont val="Arial"/>
        <family val="2"/>
      </rPr>
      <t xml:space="preserve"> (CEO)</t>
    </r>
  </si>
  <si>
    <r>
      <rPr>
        <sz val="10"/>
        <color theme="1"/>
        <rFont val="Arial"/>
        <family val="2"/>
      </rPr>
      <t>Founded: 2008 in Belgium</t>
    </r>
    <r>
      <rPr>
        <sz val="10"/>
        <color theme="1"/>
        <rFont val="Arial"/>
        <family val="2"/>
      </rPr>
      <t xml:space="preserve"> spin-out from VIB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</si>
</sst>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1" xfId="1" applyBorder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3" fillId="0" borderId="0" xfId="0" applyFont="1"/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Font="1"/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B161628-6075-440D-B8CF-C54019B835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66864</xdr:colOff>
      <xdr:row>0</xdr:row>
      <xdr:rowOff>8282</xdr:rowOff>
    </xdr:from>
    <xdr:to>
      <xdr:col>22</xdr:col>
      <xdr:colOff>66864</xdr:colOff>
      <xdr:row>39</xdr:row>
      <xdr:rowOff>109582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002FF7E-E98E-5366-2BB5-01F55F372139}"/>
            </a:ext>
          </a:extLst>
        </xdr:cNvPr>
        <xdr:cNvCxnSpPr/>
      </xdr:nvCxnSpPr>
      <xdr:spPr>
        <a:xfrm>
          <a:off x="13865690" y="8282"/>
          <a:ext cx="0" cy="65617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46282</xdr:colOff>
      <xdr:row>0</xdr:row>
      <xdr:rowOff>0</xdr:rowOff>
    </xdr:from>
    <xdr:to>
      <xdr:col>34</xdr:col>
      <xdr:colOff>46282</xdr:colOff>
      <xdr:row>39</xdr:row>
      <xdr:rowOff>101300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852971F-1AC8-44CA-8432-9A5F3A23F196}"/>
            </a:ext>
          </a:extLst>
        </xdr:cNvPr>
        <xdr:cNvCxnSpPr/>
      </xdr:nvCxnSpPr>
      <xdr:spPr>
        <a:xfrm>
          <a:off x="21200065" y="0"/>
          <a:ext cx="0" cy="65617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072C-9090-47FE-AE79-FF8859A46899}">
  <dimension ref="B2:L14"/>
  <sheetViews>
    <sheetView zoomScaleNormal="100" workbookViewId="0">
      <selection activeCell="E17" sqref="E17"/>
    </sheetView>
  </sheetViews>
  <sheetFormatPr defaultRowHeight="12.75" x14ac:dyDescent="0.2"/>
  <cols>
    <col min="1" max="1" width="4.5703125" customWidth="1"/>
    <col min="2" max="2" width="24.28515625" customWidth="1"/>
    <col min="3" max="3" width="10.28515625" customWidth="1"/>
    <col min="4" max="4" width="11.28515625" customWidth="1"/>
    <col min="5" max="5" width="13.7109375" customWidth="1"/>
    <col min="6" max="9" width="7.42578125" customWidth="1"/>
  </cols>
  <sheetData>
    <row r="2" spans="2:12" x14ac:dyDescent="0.2">
      <c r="B2" s="4" t="s">
        <v>7</v>
      </c>
      <c r="C2" s="5" t="s">
        <v>8</v>
      </c>
      <c r="D2" s="5" t="s">
        <v>10</v>
      </c>
      <c r="E2" s="5" t="s">
        <v>13</v>
      </c>
      <c r="F2" s="5"/>
      <c r="G2" s="6"/>
      <c r="J2" t="s">
        <v>0</v>
      </c>
      <c r="K2" s="1">
        <v>541.65</v>
      </c>
    </row>
    <row r="3" spans="2:12" x14ac:dyDescent="0.2">
      <c r="B3" s="17" t="s">
        <v>6</v>
      </c>
      <c r="C3" s="7" t="s">
        <v>9</v>
      </c>
      <c r="D3" s="7"/>
      <c r="E3" s="7" t="s">
        <v>52</v>
      </c>
      <c r="F3" s="7"/>
      <c r="G3" s="8"/>
      <c r="J3" t="s">
        <v>1</v>
      </c>
      <c r="K3" s="11">
        <v>60.1</v>
      </c>
      <c r="L3" s="12" t="s">
        <v>48</v>
      </c>
    </row>
    <row r="4" spans="2:12" x14ac:dyDescent="0.2">
      <c r="B4" s="4"/>
      <c r="C4" s="5"/>
      <c r="D4" s="5"/>
      <c r="E4" s="5"/>
      <c r="F4" s="5"/>
      <c r="G4" s="6"/>
      <c r="J4" t="s">
        <v>2</v>
      </c>
      <c r="K4" s="11">
        <f>+K2*K3</f>
        <v>32553.165000000001</v>
      </c>
    </row>
    <row r="5" spans="2:12" x14ac:dyDescent="0.2">
      <c r="B5" s="2" t="s">
        <v>50</v>
      </c>
      <c r="C5" s="7" t="s">
        <v>51</v>
      </c>
      <c r="D5" s="7"/>
      <c r="E5" s="7" t="s">
        <v>14</v>
      </c>
      <c r="F5" s="7"/>
      <c r="G5" s="8"/>
      <c r="J5" t="s">
        <v>3</v>
      </c>
      <c r="K5" s="11">
        <v>3374</v>
      </c>
      <c r="L5" s="12" t="s">
        <v>48</v>
      </c>
    </row>
    <row r="6" spans="2:12" x14ac:dyDescent="0.2">
      <c r="B6" s="2" t="s">
        <v>12</v>
      </c>
      <c r="C6" s="7"/>
      <c r="D6" s="7"/>
      <c r="E6" s="7" t="s">
        <v>15</v>
      </c>
      <c r="F6" s="7"/>
      <c r="G6" s="8"/>
      <c r="J6" t="s">
        <v>4</v>
      </c>
      <c r="K6" s="11">
        <v>0</v>
      </c>
      <c r="L6" s="12" t="s">
        <v>48</v>
      </c>
    </row>
    <row r="7" spans="2:12" x14ac:dyDescent="0.2">
      <c r="B7" s="2" t="s">
        <v>58</v>
      </c>
      <c r="C7" s="7"/>
      <c r="D7" s="7"/>
      <c r="E7" s="7" t="s">
        <v>52</v>
      </c>
      <c r="F7" s="7"/>
      <c r="G7" s="8"/>
      <c r="J7" t="s">
        <v>5</v>
      </c>
      <c r="K7" s="11">
        <f>+K4-K5+K6</f>
        <v>29179.165000000001</v>
      </c>
    </row>
    <row r="8" spans="2:12" x14ac:dyDescent="0.2">
      <c r="B8" s="2" t="s">
        <v>59</v>
      </c>
      <c r="C8" s="7"/>
      <c r="D8" s="7"/>
      <c r="E8" s="7" t="s">
        <v>60</v>
      </c>
      <c r="F8" s="7"/>
      <c r="G8" s="8"/>
    </row>
    <row r="9" spans="2:12" x14ac:dyDescent="0.2">
      <c r="B9" s="2" t="s">
        <v>61</v>
      </c>
      <c r="C9" s="7"/>
      <c r="D9" s="7"/>
      <c r="E9" s="7" t="s">
        <v>62</v>
      </c>
      <c r="F9" s="7"/>
      <c r="G9" s="8"/>
      <c r="J9" s="25" t="s">
        <v>92</v>
      </c>
    </row>
    <row r="10" spans="2:12" x14ac:dyDescent="0.2">
      <c r="B10" s="2"/>
      <c r="C10" s="7"/>
      <c r="D10" s="7"/>
      <c r="E10" s="7"/>
      <c r="F10" s="7"/>
      <c r="G10" s="8"/>
      <c r="J10" s="25" t="s">
        <v>90</v>
      </c>
    </row>
    <row r="11" spans="2:12" x14ac:dyDescent="0.2">
      <c r="B11" s="3"/>
      <c r="C11" s="9"/>
      <c r="D11" s="9"/>
      <c r="E11" s="9"/>
      <c r="F11" s="9"/>
      <c r="G11" s="10"/>
      <c r="J11" s="25" t="s">
        <v>91</v>
      </c>
    </row>
    <row r="12" spans="2:12" x14ac:dyDescent="0.2">
      <c r="J12" s="25" t="s">
        <v>93</v>
      </c>
    </row>
    <row r="14" spans="2:12" x14ac:dyDescent="0.2">
      <c r="J14" s="25" t="s">
        <v>89</v>
      </c>
    </row>
  </sheetData>
  <hyperlinks>
    <hyperlink ref="B3" location="Vyvgart!A1" display="Vyvgart (efgartigimod)" xr:uid="{06858417-F129-44CE-9C86-ED65030F512F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FC1B-B0AD-4EAF-96B8-DF2C11F9039A}">
  <dimension ref="A1:BA2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Z23" sqref="AZ23"/>
    </sheetView>
  </sheetViews>
  <sheetFormatPr defaultRowHeight="12.75" x14ac:dyDescent="0.2"/>
  <cols>
    <col min="1" max="1" width="5" bestFit="1" customWidth="1"/>
    <col min="2" max="2" width="18.140625" bestFit="1" customWidth="1"/>
    <col min="3" max="23" width="9.140625" style="12"/>
    <col min="47" max="47" width="9.28515625" customWidth="1"/>
  </cols>
  <sheetData>
    <row r="1" spans="1:50" x14ac:dyDescent="0.2">
      <c r="A1" s="13" t="s">
        <v>16</v>
      </c>
    </row>
    <row r="2" spans="1:50" x14ac:dyDescent="0.2">
      <c r="C2" s="12" t="s">
        <v>18</v>
      </c>
      <c r="D2" s="12" t="s">
        <v>19</v>
      </c>
      <c r="E2" s="12" t="s">
        <v>20</v>
      </c>
      <c r="F2" s="12" t="s">
        <v>21</v>
      </c>
      <c r="G2" s="12" t="s">
        <v>22</v>
      </c>
      <c r="H2" s="12" t="s">
        <v>23</v>
      </c>
      <c r="I2" s="12" t="s">
        <v>24</v>
      </c>
      <c r="J2" s="12" t="s">
        <v>25</v>
      </c>
      <c r="K2" s="12" t="s">
        <v>26</v>
      </c>
      <c r="L2" s="12" t="s">
        <v>27</v>
      </c>
      <c r="M2" s="12" t="s">
        <v>11</v>
      </c>
      <c r="N2" s="12" t="s">
        <v>28</v>
      </c>
      <c r="O2" s="12" t="s">
        <v>29</v>
      </c>
      <c r="P2" s="12" t="s">
        <v>30</v>
      </c>
      <c r="Q2" s="12" t="s">
        <v>31</v>
      </c>
      <c r="R2" s="12" t="s">
        <v>32</v>
      </c>
      <c r="S2" s="12" t="s">
        <v>47</v>
      </c>
      <c r="T2" s="12" t="s">
        <v>46</v>
      </c>
      <c r="U2" s="12" t="s">
        <v>48</v>
      </c>
      <c r="V2" s="12" t="s">
        <v>49</v>
      </c>
      <c r="Y2">
        <v>2015</v>
      </c>
      <c r="Z2">
        <f>+Y2+1</f>
        <v>2016</v>
      </c>
      <c r="AA2">
        <f t="shared" ref="AA2:AS2" si="0">+Z2+1</f>
        <v>2017</v>
      </c>
      <c r="AB2">
        <f t="shared" si="0"/>
        <v>2018</v>
      </c>
      <c r="AC2">
        <f t="shared" si="0"/>
        <v>2019</v>
      </c>
      <c r="AD2">
        <f t="shared" si="0"/>
        <v>2020</v>
      </c>
      <c r="AE2">
        <f t="shared" si="0"/>
        <v>2021</v>
      </c>
      <c r="AF2">
        <f t="shared" si="0"/>
        <v>2022</v>
      </c>
      <c r="AG2">
        <f t="shared" si="0"/>
        <v>2023</v>
      </c>
      <c r="AH2">
        <f t="shared" si="0"/>
        <v>2024</v>
      </c>
      <c r="AI2">
        <f t="shared" si="0"/>
        <v>2025</v>
      </c>
      <c r="AJ2">
        <f t="shared" si="0"/>
        <v>2026</v>
      </c>
      <c r="AK2">
        <f t="shared" si="0"/>
        <v>2027</v>
      </c>
      <c r="AL2">
        <f t="shared" si="0"/>
        <v>2028</v>
      </c>
      <c r="AM2">
        <f t="shared" si="0"/>
        <v>2029</v>
      </c>
      <c r="AN2">
        <f t="shared" si="0"/>
        <v>2030</v>
      </c>
      <c r="AO2">
        <f t="shared" si="0"/>
        <v>2031</v>
      </c>
      <c r="AP2">
        <f t="shared" si="0"/>
        <v>2032</v>
      </c>
      <c r="AQ2">
        <f t="shared" si="0"/>
        <v>2033</v>
      </c>
      <c r="AR2">
        <f t="shared" si="0"/>
        <v>2034</v>
      </c>
      <c r="AS2">
        <f t="shared" si="0"/>
        <v>2035</v>
      </c>
      <c r="AT2">
        <f t="shared" ref="AT2" si="1">+AS2+1</f>
        <v>2036</v>
      </c>
      <c r="AU2">
        <f t="shared" ref="AU2" si="2">+AT2+1</f>
        <v>2037</v>
      </c>
      <c r="AV2">
        <f t="shared" ref="AV2" si="3">+AU2+1</f>
        <v>2038</v>
      </c>
      <c r="AW2">
        <f t="shared" ref="AW2" si="4">+AV2+1</f>
        <v>2039</v>
      </c>
      <c r="AX2">
        <f t="shared" ref="AX2" si="5">+AW2+1</f>
        <v>2040</v>
      </c>
    </row>
    <row r="3" spans="1:50" s="11" customFormat="1" x14ac:dyDescent="0.2">
      <c r="B3" s="11" t="s">
        <v>33</v>
      </c>
      <c r="C3" s="18"/>
      <c r="D3" s="18"/>
      <c r="E3" s="18"/>
      <c r="F3" s="18"/>
      <c r="G3" s="18">
        <v>0</v>
      </c>
      <c r="H3" s="18">
        <v>0</v>
      </c>
      <c r="I3" s="18">
        <v>0</v>
      </c>
      <c r="J3" s="18">
        <v>0</v>
      </c>
      <c r="K3" s="18">
        <v>21.163</v>
      </c>
      <c r="L3" s="18">
        <v>74.832999999999998</v>
      </c>
      <c r="M3" s="18">
        <v>131.32900000000001</v>
      </c>
      <c r="N3" s="18">
        <v>173.39599999999999</v>
      </c>
      <c r="O3" s="18">
        <v>218</v>
      </c>
      <c r="P3" s="18">
        <v>269.31299999999999</v>
      </c>
      <c r="Q3" s="18">
        <v>329.09699999999998</v>
      </c>
      <c r="R3" s="18">
        <v>374.351</v>
      </c>
      <c r="S3" s="18">
        <f>876-477.635</f>
        <v>398.36500000000001</v>
      </c>
      <c r="T3" s="18">
        <f>876-S3</f>
        <v>477.63499999999999</v>
      </c>
      <c r="U3" s="18">
        <v>573</v>
      </c>
      <c r="V3" s="18">
        <v>737</v>
      </c>
      <c r="W3" s="18"/>
      <c r="AD3" s="11">
        <v>0</v>
      </c>
      <c r="AE3" s="11">
        <f>SUM(G3:J3)</f>
        <v>0</v>
      </c>
      <c r="AF3" s="11">
        <f>SUM(K3:N3)</f>
        <v>400.721</v>
      </c>
      <c r="AG3" s="11">
        <f>SUM(O3:R3)</f>
        <v>1190.761</v>
      </c>
      <c r="AH3" s="11">
        <f>SUM(S3:V3)</f>
        <v>2186</v>
      </c>
      <c r="AI3" s="11">
        <v>3500</v>
      </c>
      <c r="AJ3" s="11">
        <v>4500</v>
      </c>
      <c r="AK3" s="11">
        <v>5500</v>
      </c>
      <c r="AL3" s="11">
        <v>6000</v>
      </c>
      <c r="AM3" s="11">
        <v>6500</v>
      </c>
      <c r="AN3" s="11">
        <v>7000</v>
      </c>
      <c r="AO3" s="11">
        <f>+AN3+500</f>
        <v>7500</v>
      </c>
      <c r="AP3" s="11">
        <f t="shared" ref="AP3:AS3" si="6">+AO3+500</f>
        <v>8000</v>
      </c>
      <c r="AQ3" s="11">
        <f t="shared" si="6"/>
        <v>8500</v>
      </c>
      <c r="AR3" s="11">
        <f t="shared" si="6"/>
        <v>9000</v>
      </c>
      <c r="AS3" s="11">
        <f t="shared" si="6"/>
        <v>9500</v>
      </c>
      <c r="AT3" s="11">
        <f t="shared" ref="AT3" si="7">+AS3+500</f>
        <v>10000</v>
      </c>
      <c r="AU3" s="11">
        <f>+AT3*0.5</f>
        <v>5000</v>
      </c>
      <c r="AV3" s="11">
        <f>+AU3*0.8</f>
        <v>4000</v>
      </c>
      <c r="AW3" s="11">
        <f>+AV3*0.8</f>
        <v>3200</v>
      </c>
      <c r="AX3" s="11">
        <f>+AW3*0.8</f>
        <v>2560</v>
      </c>
    </row>
    <row r="4" spans="1:50" s="11" customFormat="1" x14ac:dyDescent="0.2">
      <c r="B4" s="11" t="s">
        <v>34</v>
      </c>
      <c r="C4" s="18"/>
      <c r="D4" s="18"/>
      <c r="E4" s="18"/>
      <c r="F4" s="18"/>
      <c r="G4" s="18">
        <f>158.155+20.412</f>
        <v>178.56700000000001</v>
      </c>
      <c r="H4" s="18">
        <f>312.243+7.819</f>
        <v>320.06200000000001</v>
      </c>
      <c r="I4" s="18">
        <f>0.857+6.248</f>
        <v>7.1050000000000004</v>
      </c>
      <c r="J4" s="18">
        <f>497.277+42.141-I4-H4-G4</f>
        <v>33.683999999999969</v>
      </c>
      <c r="K4" s="18">
        <f>2.249+8.068</f>
        <v>10.317</v>
      </c>
      <c r="L4" s="18">
        <f>0.361+9.989</f>
        <v>10.350000000000001</v>
      </c>
      <c r="M4" s="18">
        <f>6.652+8.508</f>
        <v>15.16</v>
      </c>
      <c r="N4" s="18">
        <f>0.764+7.956</f>
        <v>8.7200000000000006</v>
      </c>
      <c r="O4" s="18">
        <f>10.74+1.118</f>
        <v>11.858000000000001</v>
      </c>
      <c r="P4" s="18">
        <f>10.485+1.237</f>
        <v>11.722</v>
      </c>
      <c r="Q4" s="18">
        <f>10.05+0.692</f>
        <v>10.742000000000001</v>
      </c>
      <c r="R4" s="18">
        <f>32.486+11.003</f>
        <v>43.488999999999997</v>
      </c>
      <c r="S4" s="18">
        <f>2.718+11.512</f>
        <v>14.23</v>
      </c>
      <c r="T4" s="18">
        <v>11.792999999999999</v>
      </c>
      <c r="U4" s="18">
        <f>15.642+0.239</f>
        <v>15.881</v>
      </c>
      <c r="V4" s="18"/>
      <c r="W4" s="18"/>
      <c r="AD4" s="11">
        <f>41.243+23.668</f>
        <v>64.911000000000001</v>
      </c>
      <c r="AE4" s="11">
        <f>SUM(G4:J4)</f>
        <v>539.41800000000001</v>
      </c>
      <c r="AH4" s="11">
        <f>SUM(S4:V4)</f>
        <v>41.903999999999996</v>
      </c>
    </row>
    <row r="5" spans="1:50" s="19" customFormat="1" x14ac:dyDescent="0.2">
      <c r="B5" s="19" t="s">
        <v>17</v>
      </c>
      <c r="C5" s="20"/>
      <c r="D5" s="20"/>
      <c r="E5" s="20"/>
      <c r="F5" s="20"/>
      <c r="G5" s="20">
        <f>+G3+G4</f>
        <v>178.56700000000001</v>
      </c>
      <c r="H5" s="20">
        <f>+H3+H4</f>
        <v>320.06200000000001</v>
      </c>
      <c r="I5" s="20">
        <f>+I3+I4</f>
        <v>7.1050000000000004</v>
      </c>
      <c r="J5" s="20">
        <f t="shared" ref="J5:V5" si="8">+J3+J4</f>
        <v>33.683999999999969</v>
      </c>
      <c r="K5" s="20">
        <f t="shared" si="8"/>
        <v>31.48</v>
      </c>
      <c r="L5" s="20">
        <f t="shared" si="8"/>
        <v>85.182999999999993</v>
      </c>
      <c r="M5" s="20">
        <f t="shared" si="8"/>
        <v>146.489</v>
      </c>
      <c r="N5" s="20">
        <f t="shared" si="8"/>
        <v>182.11599999999999</v>
      </c>
      <c r="O5" s="20">
        <f t="shared" si="8"/>
        <v>229.858</v>
      </c>
      <c r="P5" s="20">
        <f t="shared" si="8"/>
        <v>281.03499999999997</v>
      </c>
      <c r="Q5" s="20">
        <f t="shared" si="8"/>
        <v>339.839</v>
      </c>
      <c r="R5" s="20">
        <f t="shared" si="8"/>
        <v>417.84</v>
      </c>
      <c r="S5" s="20">
        <f t="shared" si="8"/>
        <v>412.59500000000003</v>
      </c>
      <c r="T5" s="20">
        <f t="shared" si="8"/>
        <v>489.428</v>
      </c>
      <c r="U5" s="20">
        <f t="shared" si="8"/>
        <v>588.88099999999997</v>
      </c>
      <c r="V5" s="20">
        <f t="shared" si="8"/>
        <v>737</v>
      </c>
      <c r="W5" s="20"/>
      <c r="AD5" s="19">
        <f>+AD3+AD4</f>
        <v>64.911000000000001</v>
      </c>
      <c r="AE5" s="19">
        <f>+AE3+AE4</f>
        <v>539.41800000000001</v>
      </c>
      <c r="AH5" s="19">
        <f t="shared" ref="AH5:AN5" si="9">+AH3+AH4</f>
        <v>2227.904</v>
      </c>
      <c r="AI5" s="19">
        <f t="shared" si="9"/>
        <v>3500</v>
      </c>
      <c r="AJ5" s="19">
        <f t="shared" si="9"/>
        <v>4500</v>
      </c>
      <c r="AK5" s="19">
        <f t="shared" si="9"/>
        <v>5500</v>
      </c>
      <c r="AL5" s="19">
        <f t="shared" si="9"/>
        <v>6000</v>
      </c>
      <c r="AM5" s="19">
        <f t="shared" si="9"/>
        <v>6500</v>
      </c>
      <c r="AN5" s="19">
        <f t="shared" si="9"/>
        <v>7000</v>
      </c>
      <c r="AO5" s="19">
        <f t="shared" ref="AO5:AS5" si="10">+AO3+AO4</f>
        <v>7500</v>
      </c>
      <c r="AP5" s="19">
        <f t="shared" si="10"/>
        <v>8000</v>
      </c>
      <c r="AQ5" s="19">
        <f t="shared" si="10"/>
        <v>8500</v>
      </c>
      <c r="AR5" s="19">
        <f t="shared" si="10"/>
        <v>9000</v>
      </c>
      <c r="AS5" s="19">
        <f t="shared" si="10"/>
        <v>9500</v>
      </c>
      <c r="AT5" s="19">
        <f t="shared" ref="AT5" si="11">+AT3+AT4</f>
        <v>10000</v>
      </c>
      <c r="AU5" s="19">
        <f t="shared" ref="AU5" si="12">+AU3+AU4</f>
        <v>5000</v>
      </c>
      <c r="AV5" s="19">
        <f t="shared" ref="AV5" si="13">+AV3+AV4</f>
        <v>4000</v>
      </c>
      <c r="AW5" s="19">
        <f t="shared" ref="AW5" si="14">+AW3+AW4</f>
        <v>3200</v>
      </c>
      <c r="AX5" s="19">
        <f t="shared" ref="AX5" si="15">+AX3+AX4</f>
        <v>2560</v>
      </c>
    </row>
    <row r="6" spans="1:50" s="11" customFormat="1" x14ac:dyDescent="0.2">
      <c r="B6" s="11" t="s">
        <v>37</v>
      </c>
      <c r="C6" s="18"/>
      <c r="D6" s="18"/>
      <c r="E6" s="18"/>
      <c r="F6" s="18"/>
      <c r="G6" s="18">
        <v>0</v>
      </c>
      <c r="H6" s="18">
        <v>0</v>
      </c>
      <c r="I6" s="18">
        <v>0</v>
      </c>
      <c r="J6" s="18">
        <v>0</v>
      </c>
      <c r="K6" s="18">
        <v>1.3720000000000001</v>
      </c>
      <c r="L6" s="18">
        <v>5.01</v>
      </c>
      <c r="M6" s="18">
        <v>10.263999999999999</v>
      </c>
      <c r="N6" s="18">
        <v>12.786</v>
      </c>
      <c r="O6" s="18">
        <v>18.335000000000001</v>
      </c>
      <c r="P6" s="18">
        <v>24.024000000000001</v>
      </c>
      <c r="Q6" s="18">
        <v>35.999000000000002</v>
      </c>
      <c r="R6" s="18">
        <v>39.476999999999997</v>
      </c>
      <c r="S6" s="18">
        <v>43.177999999999997</v>
      </c>
      <c r="T6" s="18">
        <v>52.383000000000003</v>
      </c>
      <c r="U6" s="18">
        <v>59.072000000000003</v>
      </c>
      <c r="V6" s="18"/>
      <c r="W6" s="18"/>
      <c r="AD6" s="11">
        <f>SUM(F6:I6)</f>
        <v>0</v>
      </c>
      <c r="AE6" s="11">
        <f>SUM(G6:J6)</f>
        <v>0</v>
      </c>
      <c r="AI6" s="11">
        <f>+AI5*0.1</f>
        <v>350</v>
      </c>
      <c r="AJ6" s="11">
        <f t="shared" ref="AJ6:AS6" si="16">+AJ5*0.1</f>
        <v>450</v>
      </c>
      <c r="AK6" s="11">
        <f t="shared" si="16"/>
        <v>550</v>
      </c>
      <c r="AL6" s="11">
        <f t="shared" si="16"/>
        <v>600</v>
      </c>
      <c r="AM6" s="11">
        <f t="shared" si="16"/>
        <v>650</v>
      </c>
      <c r="AN6" s="11">
        <f t="shared" si="16"/>
        <v>700</v>
      </c>
      <c r="AO6" s="11">
        <f t="shared" si="16"/>
        <v>750</v>
      </c>
      <c r="AP6" s="11">
        <f t="shared" si="16"/>
        <v>800</v>
      </c>
      <c r="AQ6" s="11">
        <f t="shared" si="16"/>
        <v>850</v>
      </c>
      <c r="AR6" s="11">
        <f t="shared" si="16"/>
        <v>900</v>
      </c>
      <c r="AS6" s="11">
        <f t="shared" si="16"/>
        <v>950</v>
      </c>
      <c r="AT6" s="11">
        <f t="shared" ref="AT6" si="17">+AT5*0.1</f>
        <v>1000</v>
      </c>
      <c r="AU6" s="11">
        <f t="shared" ref="AU6" si="18">+AU5*0.1</f>
        <v>500</v>
      </c>
      <c r="AV6" s="11">
        <f t="shared" ref="AV6" si="19">+AV5*0.1</f>
        <v>400</v>
      </c>
      <c r="AW6" s="11">
        <f t="shared" ref="AW6" si="20">+AW5*0.1</f>
        <v>320</v>
      </c>
      <c r="AX6" s="11">
        <f t="shared" ref="AX6" si="21">+AX5*0.1</f>
        <v>256</v>
      </c>
    </row>
    <row r="7" spans="1:50" s="11" customFormat="1" x14ac:dyDescent="0.2">
      <c r="B7" s="11" t="s">
        <v>38</v>
      </c>
      <c r="C7" s="18"/>
      <c r="D7" s="18"/>
      <c r="E7" s="18"/>
      <c r="F7" s="18"/>
      <c r="G7" s="18">
        <f t="shared" ref="G7:M7" si="22">+G5-G6</f>
        <v>178.56700000000001</v>
      </c>
      <c r="H7" s="18">
        <f t="shared" si="22"/>
        <v>320.06200000000001</v>
      </c>
      <c r="I7" s="18">
        <f t="shared" si="22"/>
        <v>7.1050000000000004</v>
      </c>
      <c r="J7" s="18">
        <f t="shared" si="22"/>
        <v>33.683999999999969</v>
      </c>
      <c r="K7" s="18">
        <f t="shared" si="22"/>
        <v>30.108000000000001</v>
      </c>
      <c r="L7" s="18">
        <f t="shared" si="22"/>
        <v>80.172999999999988</v>
      </c>
      <c r="M7" s="18">
        <f t="shared" si="22"/>
        <v>136.22499999999999</v>
      </c>
      <c r="N7" s="18">
        <f>+N5-N6</f>
        <v>169.32999999999998</v>
      </c>
      <c r="O7" s="18">
        <f>O5-O6</f>
        <v>211.523</v>
      </c>
      <c r="P7" s="18">
        <f t="shared" ref="P7:U7" si="23">+P5-P6</f>
        <v>257.01099999999997</v>
      </c>
      <c r="Q7" s="18">
        <f t="shared" si="23"/>
        <v>303.83999999999997</v>
      </c>
      <c r="R7" s="18">
        <f t="shared" si="23"/>
        <v>378.363</v>
      </c>
      <c r="S7" s="18">
        <f t="shared" si="23"/>
        <v>369.41700000000003</v>
      </c>
      <c r="T7" s="18">
        <f t="shared" si="23"/>
        <v>437.04500000000002</v>
      </c>
      <c r="U7" s="18">
        <f t="shared" si="23"/>
        <v>529.80899999999997</v>
      </c>
      <c r="V7" s="18"/>
      <c r="W7" s="18"/>
      <c r="AD7" s="11">
        <f>+AD5-AD6</f>
        <v>64.911000000000001</v>
      </c>
      <c r="AE7" s="11">
        <f>+AE5-AE6</f>
        <v>539.41800000000001</v>
      </c>
      <c r="AI7" s="11">
        <f>+AI5-AI6</f>
        <v>3150</v>
      </c>
      <c r="AJ7" s="11">
        <f t="shared" ref="AJ7:AS7" si="24">+AJ5-AJ6</f>
        <v>4050</v>
      </c>
      <c r="AK7" s="11">
        <f t="shared" si="24"/>
        <v>4950</v>
      </c>
      <c r="AL7" s="11">
        <f t="shared" si="24"/>
        <v>5400</v>
      </c>
      <c r="AM7" s="11">
        <f t="shared" si="24"/>
        <v>5850</v>
      </c>
      <c r="AN7" s="11">
        <f t="shared" si="24"/>
        <v>6300</v>
      </c>
      <c r="AO7" s="11">
        <f t="shared" si="24"/>
        <v>6750</v>
      </c>
      <c r="AP7" s="11">
        <f t="shared" si="24"/>
        <v>7200</v>
      </c>
      <c r="AQ7" s="11">
        <f t="shared" si="24"/>
        <v>7650</v>
      </c>
      <c r="AR7" s="11">
        <f t="shared" si="24"/>
        <v>8100</v>
      </c>
      <c r="AS7" s="11">
        <f t="shared" si="24"/>
        <v>8550</v>
      </c>
      <c r="AT7" s="11">
        <f t="shared" ref="AT7" si="25">+AT5-AT6</f>
        <v>9000</v>
      </c>
      <c r="AU7" s="11">
        <f t="shared" ref="AU7" si="26">+AU5-AU6</f>
        <v>4500</v>
      </c>
      <c r="AV7" s="11">
        <f t="shared" ref="AV7" si="27">+AV5-AV6</f>
        <v>3600</v>
      </c>
      <c r="AW7" s="11">
        <f t="shared" ref="AW7" si="28">+AW5-AW6</f>
        <v>2880</v>
      </c>
      <c r="AX7" s="11">
        <f t="shared" ref="AX7" si="29">+AX5-AX6</f>
        <v>2304</v>
      </c>
    </row>
    <row r="8" spans="1:50" s="11" customFormat="1" x14ac:dyDescent="0.2">
      <c r="B8" s="11" t="s">
        <v>39</v>
      </c>
      <c r="C8" s="18"/>
      <c r="D8" s="18"/>
      <c r="E8" s="18"/>
      <c r="F8" s="18"/>
      <c r="G8" s="18">
        <v>122.328</v>
      </c>
      <c r="H8" s="18">
        <v>151.57900000000001</v>
      </c>
      <c r="I8" s="18">
        <v>139.44</v>
      </c>
      <c r="J8" s="18">
        <f>580.52-I8-H8-G8</f>
        <v>167.17299999999997</v>
      </c>
      <c r="K8" s="18">
        <v>151.96799999999999</v>
      </c>
      <c r="L8" s="18">
        <v>126.919</v>
      </c>
      <c r="M8" s="18">
        <v>236.68100000000001</v>
      </c>
      <c r="N8" s="18">
        <v>147.798</v>
      </c>
      <c r="O8" s="18">
        <v>165.85499999999999</v>
      </c>
      <c r="P8" s="18">
        <v>195.50899999999999</v>
      </c>
      <c r="Q8" s="18">
        <v>191.755</v>
      </c>
      <c r="R8" s="18">
        <v>306.37299999999999</v>
      </c>
      <c r="S8" s="18">
        <v>224.96899999999999</v>
      </c>
      <c r="T8" s="18">
        <v>225.286</v>
      </c>
      <c r="U8" s="18">
        <v>235.94</v>
      </c>
      <c r="V8" s="18"/>
      <c r="W8" s="18"/>
      <c r="AD8" s="11">
        <v>370.88499999999999</v>
      </c>
      <c r="AE8" s="11">
        <f t="shared" ref="AE8:AE9" si="30">SUM(G8:J8)</f>
        <v>580.52</v>
      </c>
    </row>
    <row r="9" spans="1:50" s="11" customFormat="1" x14ac:dyDescent="0.2">
      <c r="B9" s="11" t="s">
        <v>40</v>
      </c>
      <c r="C9" s="18"/>
      <c r="D9" s="18"/>
      <c r="E9" s="18"/>
      <c r="F9" s="18"/>
      <c r="G9" s="18">
        <v>56.253</v>
      </c>
      <c r="H9" s="18">
        <v>73.346000000000004</v>
      </c>
      <c r="I9" s="18">
        <v>80.623000000000005</v>
      </c>
      <c r="J9" s="18">
        <f>307.644-I9-H9-G9</f>
        <v>97.422000000000011</v>
      </c>
      <c r="K9" s="18">
        <v>100.866</v>
      </c>
      <c r="L9" s="18">
        <v>127.798</v>
      </c>
      <c r="M9" s="18">
        <v>108.181</v>
      </c>
      <c r="N9" s="18">
        <v>135.28700000000001</v>
      </c>
      <c r="O9" s="18">
        <v>149.172</v>
      </c>
      <c r="P9" s="18">
        <v>161.977</v>
      </c>
      <c r="Q9" s="18">
        <v>191.93</v>
      </c>
      <c r="R9" s="18">
        <v>208.82599999999999</v>
      </c>
      <c r="S9" s="18">
        <v>235.995</v>
      </c>
      <c r="T9" s="18">
        <v>255.69900000000001</v>
      </c>
      <c r="U9" s="18">
        <v>277.69799999999998</v>
      </c>
      <c r="V9" s="18"/>
      <c r="W9" s="18"/>
      <c r="AD9" s="11">
        <v>171.643</v>
      </c>
      <c r="AE9" s="11">
        <f t="shared" si="30"/>
        <v>307.64400000000001</v>
      </c>
      <c r="AI9" s="11">
        <f>+AI5*0.1</f>
        <v>350</v>
      </c>
      <c r="AJ9" s="11">
        <f t="shared" ref="AJ9:AS9" si="31">+AJ5*0.1</f>
        <v>450</v>
      </c>
      <c r="AK9" s="11">
        <f t="shared" si="31"/>
        <v>550</v>
      </c>
      <c r="AL9" s="11">
        <f t="shared" si="31"/>
        <v>600</v>
      </c>
      <c r="AM9" s="11">
        <f t="shared" si="31"/>
        <v>650</v>
      </c>
      <c r="AN9" s="11">
        <f t="shared" si="31"/>
        <v>700</v>
      </c>
      <c r="AO9" s="11">
        <f t="shared" si="31"/>
        <v>750</v>
      </c>
      <c r="AP9" s="11">
        <f t="shared" si="31"/>
        <v>800</v>
      </c>
      <c r="AQ9" s="11">
        <f t="shared" si="31"/>
        <v>850</v>
      </c>
      <c r="AR9" s="11">
        <f t="shared" si="31"/>
        <v>900</v>
      </c>
      <c r="AS9" s="11">
        <f t="shared" si="31"/>
        <v>950</v>
      </c>
      <c r="AT9" s="11">
        <f t="shared" ref="AT9:AX9" si="32">+AT5*0.1</f>
        <v>1000</v>
      </c>
      <c r="AU9" s="11">
        <f t="shared" si="32"/>
        <v>500</v>
      </c>
      <c r="AV9" s="11">
        <f t="shared" si="32"/>
        <v>400</v>
      </c>
      <c r="AW9" s="11">
        <f t="shared" si="32"/>
        <v>320</v>
      </c>
      <c r="AX9" s="11">
        <f t="shared" si="32"/>
        <v>256</v>
      </c>
    </row>
    <row r="10" spans="1:50" s="11" customFormat="1" x14ac:dyDescent="0.2">
      <c r="B10" s="11" t="s">
        <v>36</v>
      </c>
      <c r="C10" s="18"/>
      <c r="D10" s="18"/>
      <c r="E10" s="18"/>
      <c r="F10" s="18"/>
      <c r="G10" s="18">
        <f t="shared" ref="G10:U10" si="33">+G8+G9</f>
        <v>178.58100000000002</v>
      </c>
      <c r="H10" s="18">
        <f t="shared" si="33"/>
        <v>224.92500000000001</v>
      </c>
      <c r="I10" s="18">
        <f t="shared" si="33"/>
        <v>220.06299999999999</v>
      </c>
      <c r="J10" s="18">
        <f t="shared" si="33"/>
        <v>264.59499999999997</v>
      </c>
      <c r="K10" s="18">
        <f t="shared" si="33"/>
        <v>252.834</v>
      </c>
      <c r="L10" s="18">
        <f t="shared" si="33"/>
        <v>254.71699999999998</v>
      </c>
      <c r="M10" s="18">
        <f t="shared" si="33"/>
        <v>344.86200000000002</v>
      </c>
      <c r="N10" s="18">
        <f t="shared" si="33"/>
        <v>283.08500000000004</v>
      </c>
      <c r="O10" s="18">
        <f t="shared" si="33"/>
        <v>315.02699999999999</v>
      </c>
      <c r="P10" s="18">
        <f t="shared" si="33"/>
        <v>357.48599999999999</v>
      </c>
      <c r="Q10" s="18">
        <f t="shared" si="33"/>
        <v>383.685</v>
      </c>
      <c r="R10" s="18">
        <f t="shared" si="33"/>
        <v>515.19899999999996</v>
      </c>
      <c r="S10" s="18">
        <f t="shared" si="33"/>
        <v>460.964</v>
      </c>
      <c r="T10" s="18">
        <f t="shared" si="33"/>
        <v>480.98500000000001</v>
      </c>
      <c r="U10" s="18">
        <f t="shared" si="33"/>
        <v>513.63799999999992</v>
      </c>
      <c r="V10" s="18"/>
      <c r="W10" s="18"/>
      <c r="AD10" s="11">
        <f>+AD8+AD9</f>
        <v>542.52800000000002</v>
      </c>
      <c r="AE10" s="11">
        <f>+AE8+AE9</f>
        <v>888.16399999999999</v>
      </c>
      <c r="AI10" s="11">
        <f>+AI9+AI8</f>
        <v>350</v>
      </c>
      <c r="AJ10" s="11">
        <f t="shared" ref="AJ10:AS10" si="34">+AJ9+AJ8</f>
        <v>450</v>
      </c>
      <c r="AK10" s="11">
        <f t="shared" si="34"/>
        <v>550</v>
      </c>
      <c r="AL10" s="11">
        <f t="shared" si="34"/>
        <v>600</v>
      </c>
      <c r="AM10" s="11">
        <f t="shared" si="34"/>
        <v>650</v>
      </c>
      <c r="AN10" s="11">
        <f t="shared" si="34"/>
        <v>700</v>
      </c>
      <c r="AO10" s="11">
        <f t="shared" si="34"/>
        <v>750</v>
      </c>
      <c r="AP10" s="11">
        <f t="shared" si="34"/>
        <v>800</v>
      </c>
      <c r="AQ10" s="11">
        <f t="shared" si="34"/>
        <v>850</v>
      </c>
      <c r="AR10" s="11">
        <f t="shared" si="34"/>
        <v>900</v>
      </c>
      <c r="AS10" s="11">
        <f t="shared" si="34"/>
        <v>950</v>
      </c>
      <c r="AT10" s="11">
        <f t="shared" ref="AT10" si="35">+AT9+AT8</f>
        <v>1000</v>
      </c>
      <c r="AU10" s="11">
        <f t="shared" ref="AU10" si="36">+AU9+AU8</f>
        <v>500</v>
      </c>
      <c r="AV10" s="11">
        <f t="shared" ref="AV10" si="37">+AV9+AV8</f>
        <v>400</v>
      </c>
      <c r="AW10" s="11">
        <f t="shared" ref="AW10" si="38">+AW9+AW8</f>
        <v>320</v>
      </c>
      <c r="AX10" s="11">
        <f t="shared" ref="AX10" si="39">+AX9+AX8</f>
        <v>256</v>
      </c>
    </row>
    <row r="11" spans="1:50" s="11" customFormat="1" x14ac:dyDescent="0.2">
      <c r="B11" s="11" t="s">
        <v>35</v>
      </c>
      <c r="C11" s="18"/>
      <c r="D11" s="18"/>
      <c r="E11" s="18"/>
      <c r="F11" s="18"/>
      <c r="G11" s="18">
        <f t="shared" ref="G11:U11" si="40">+G7-G10</f>
        <v>-1.4000000000010004E-2</v>
      </c>
      <c r="H11" s="18">
        <f t="shared" si="40"/>
        <v>95.137</v>
      </c>
      <c r="I11" s="18">
        <f t="shared" si="40"/>
        <v>-212.958</v>
      </c>
      <c r="J11" s="18">
        <f t="shared" si="40"/>
        <v>-230.911</v>
      </c>
      <c r="K11" s="18">
        <f t="shared" si="40"/>
        <v>-222.726</v>
      </c>
      <c r="L11" s="18">
        <f t="shared" si="40"/>
        <v>-174.54399999999998</v>
      </c>
      <c r="M11" s="18">
        <f t="shared" si="40"/>
        <v>-208.63700000000003</v>
      </c>
      <c r="N11" s="18">
        <f t="shared" si="40"/>
        <v>-113.75500000000005</v>
      </c>
      <c r="O11" s="18">
        <f t="shared" si="40"/>
        <v>-103.50399999999999</v>
      </c>
      <c r="P11" s="18">
        <f t="shared" si="40"/>
        <v>-100.47500000000002</v>
      </c>
      <c r="Q11" s="18">
        <f t="shared" si="40"/>
        <v>-79.845000000000027</v>
      </c>
      <c r="R11" s="18">
        <f t="shared" si="40"/>
        <v>-136.83599999999996</v>
      </c>
      <c r="S11" s="18">
        <f t="shared" si="40"/>
        <v>-91.546999999999969</v>
      </c>
      <c r="T11" s="18">
        <f t="shared" si="40"/>
        <v>-43.94</v>
      </c>
      <c r="U11" s="18">
        <f t="shared" si="40"/>
        <v>16.171000000000049</v>
      </c>
      <c r="V11" s="18"/>
      <c r="W11" s="18"/>
      <c r="AD11" s="11">
        <f>+AD7-AD10</f>
        <v>-477.61700000000002</v>
      </c>
      <c r="AE11" s="11">
        <f>+AE7-AE10</f>
        <v>-348.74599999999998</v>
      </c>
      <c r="AI11" s="11">
        <f>+AI7-AI10</f>
        <v>2800</v>
      </c>
      <c r="AJ11" s="11">
        <f t="shared" ref="AJ11:AS11" si="41">+AJ7-AJ10</f>
        <v>3600</v>
      </c>
      <c r="AK11" s="11">
        <f t="shared" si="41"/>
        <v>4400</v>
      </c>
      <c r="AL11" s="11">
        <f t="shared" si="41"/>
        <v>4800</v>
      </c>
      <c r="AM11" s="11">
        <f t="shared" si="41"/>
        <v>5200</v>
      </c>
      <c r="AN11" s="11">
        <f t="shared" si="41"/>
        <v>5600</v>
      </c>
      <c r="AO11" s="11">
        <f t="shared" si="41"/>
        <v>6000</v>
      </c>
      <c r="AP11" s="11">
        <f t="shared" si="41"/>
        <v>6400</v>
      </c>
      <c r="AQ11" s="11">
        <f t="shared" si="41"/>
        <v>6800</v>
      </c>
      <c r="AR11" s="11">
        <f t="shared" si="41"/>
        <v>7200</v>
      </c>
      <c r="AS11" s="11">
        <f t="shared" si="41"/>
        <v>7600</v>
      </c>
      <c r="AT11" s="11">
        <f t="shared" ref="AT11" si="42">+AT7-AT10</f>
        <v>8000</v>
      </c>
      <c r="AU11" s="11">
        <f t="shared" ref="AU11" si="43">+AU7-AU10</f>
        <v>4000</v>
      </c>
      <c r="AV11" s="11">
        <f t="shared" ref="AV11" si="44">+AV7-AV10</f>
        <v>3200</v>
      </c>
      <c r="AW11" s="11">
        <f t="shared" ref="AW11" si="45">+AW7-AW10</f>
        <v>2560</v>
      </c>
      <c r="AX11" s="11">
        <f t="shared" ref="AX11" si="46">+AX7-AX10</f>
        <v>2048</v>
      </c>
    </row>
    <row r="12" spans="1:50" s="11" customFormat="1" x14ac:dyDescent="0.2">
      <c r="B12" s="11" t="s">
        <v>45</v>
      </c>
      <c r="C12" s="18"/>
      <c r="D12" s="18"/>
      <c r="E12" s="18"/>
      <c r="F12" s="18"/>
      <c r="G12" s="18">
        <f>0.764-1.184</f>
        <v>-0.41999999999999993</v>
      </c>
      <c r="H12" s="18">
        <f>0.864-1.189</f>
        <v>-0.32500000000000007</v>
      </c>
      <c r="I12" s="18">
        <f>0.805-1.1</f>
        <v>-0.29500000000000004</v>
      </c>
      <c r="J12" s="18">
        <f>-0.944-I12-H12-G12</f>
        <v>9.6000000000000085E-2</v>
      </c>
      <c r="K12" s="18">
        <f>0.821-0.953</f>
        <v>-0.13200000000000001</v>
      </c>
      <c r="L12" s="18">
        <f>4.912-1.178</f>
        <v>3.734</v>
      </c>
      <c r="M12" s="18">
        <f>8.007-0.785</f>
        <v>7.2219999999999995</v>
      </c>
      <c r="N12" s="18">
        <f>13.925-0.99</f>
        <v>12.935</v>
      </c>
      <c r="O12" s="18">
        <f>16.588-0.188</f>
        <v>16.400000000000002</v>
      </c>
      <c r="P12" s="18">
        <v>20.440999999999999</v>
      </c>
      <c r="Q12" s="18">
        <v>30.048999999999999</v>
      </c>
      <c r="R12" s="18">
        <f>40.308-0.28</f>
        <v>40.027999999999999</v>
      </c>
      <c r="S12" s="18">
        <f>38.895-0.512</f>
        <v>38.383000000000003</v>
      </c>
      <c r="T12" s="18">
        <v>38.933</v>
      </c>
      <c r="U12" s="18">
        <v>40.585999999999999</v>
      </c>
      <c r="V12" s="18"/>
      <c r="W12" s="18"/>
      <c r="AD12" s="11">
        <v>-1.5009999999999999</v>
      </c>
      <c r="AE12" s="11">
        <f t="shared" ref="AE12:AE14" si="47">SUM(G12:J12)</f>
        <v>-0.94399999999999995</v>
      </c>
      <c r="AI12" s="11">
        <f>+AH19*$BA$19</f>
        <v>67.48</v>
      </c>
      <c r="AJ12" s="11">
        <f t="shared" ref="AJ12:AX12" si="48">+AI19*$BA$19</f>
        <v>116.22716000000001</v>
      </c>
      <c r="AK12" s="11">
        <f t="shared" si="48"/>
        <v>179.40302172</v>
      </c>
      <c r="AL12" s="11">
        <f t="shared" si="48"/>
        <v>257.25287308923998</v>
      </c>
      <c r="AM12" s="11">
        <f t="shared" si="48"/>
        <v>343.22617193175705</v>
      </c>
      <c r="AN12" s="11">
        <f t="shared" si="48"/>
        <v>437.46101685459689</v>
      </c>
      <c r="AO12" s="11">
        <f t="shared" si="48"/>
        <v>540.09785414112503</v>
      </c>
      <c r="AP12" s="11">
        <f t="shared" si="48"/>
        <v>651.27951766152421</v>
      </c>
      <c r="AQ12" s="11">
        <f t="shared" si="48"/>
        <v>771.1512694617702</v>
      </c>
      <c r="AR12" s="11">
        <f t="shared" si="48"/>
        <v>899.86084104262034</v>
      </c>
      <c r="AS12" s="11">
        <f t="shared" si="48"/>
        <v>1037.558475340345</v>
      </c>
      <c r="AT12" s="11">
        <f t="shared" si="48"/>
        <v>1184.3969694211307</v>
      </c>
      <c r="AU12" s="11">
        <f t="shared" si="48"/>
        <v>1340.5317179012902</v>
      </c>
      <c r="AV12" s="11">
        <f t="shared" si="48"/>
        <v>1431.3207571056121</v>
      </c>
      <c r="AW12" s="11">
        <f t="shared" si="48"/>
        <v>1510.0532099764075</v>
      </c>
      <c r="AX12" s="11">
        <f t="shared" si="48"/>
        <v>1579.2441145460064</v>
      </c>
    </row>
    <row r="13" spans="1:50" s="11" customFormat="1" x14ac:dyDescent="0.2">
      <c r="B13" s="11" t="s">
        <v>44</v>
      </c>
      <c r="C13" s="18"/>
      <c r="D13" s="18"/>
      <c r="E13" s="18"/>
      <c r="F13" s="18"/>
      <c r="G13" s="18">
        <f t="shared" ref="G13:U13" si="49">+G11+G12</f>
        <v>-0.43400000000000993</v>
      </c>
      <c r="H13" s="18">
        <f t="shared" si="49"/>
        <v>94.811999999999998</v>
      </c>
      <c r="I13" s="18">
        <f t="shared" si="49"/>
        <v>-213.25299999999999</v>
      </c>
      <c r="J13" s="18">
        <f t="shared" si="49"/>
        <v>-230.815</v>
      </c>
      <c r="K13" s="18">
        <f t="shared" si="49"/>
        <v>-222.858</v>
      </c>
      <c r="L13" s="18">
        <f t="shared" si="49"/>
        <v>-170.80999999999997</v>
      </c>
      <c r="M13" s="18">
        <f t="shared" si="49"/>
        <v>-201.41500000000002</v>
      </c>
      <c r="N13" s="18">
        <f t="shared" si="49"/>
        <v>-100.82000000000005</v>
      </c>
      <c r="O13" s="18">
        <f t="shared" si="49"/>
        <v>-87.103999999999985</v>
      </c>
      <c r="P13" s="18">
        <f t="shared" si="49"/>
        <v>-80.03400000000002</v>
      </c>
      <c r="Q13" s="18">
        <f t="shared" si="49"/>
        <v>-49.796000000000028</v>
      </c>
      <c r="R13" s="18">
        <f t="shared" si="49"/>
        <v>-96.807999999999964</v>
      </c>
      <c r="S13" s="18">
        <f t="shared" si="49"/>
        <v>-53.163999999999966</v>
      </c>
      <c r="T13" s="18">
        <f t="shared" si="49"/>
        <v>-5.0069999999999979</v>
      </c>
      <c r="U13" s="18">
        <f t="shared" si="49"/>
        <v>56.757000000000048</v>
      </c>
      <c r="V13" s="18"/>
      <c r="W13" s="18"/>
      <c r="AD13" s="11">
        <f>+AD11+AD12</f>
        <v>-479.11799999999999</v>
      </c>
      <c r="AE13" s="11">
        <f>+AE11+AE12</f>
        <v>-349.69</v>
      </c>
      <c r="AI13" s="11">
        <f>+AI11+AI12</f>
        <v>2867.48</v>
      </c>
      <c r="AJ13" s="11">
        <f t="shared" ref="AJ13:AS13" si="50">+AJ11+AJ12</f>
        <v>3716.2271599999999</v>
      </c>
      <c r="AK13" s="11">
        <f t="shared" si="50"/>
        <v>4579.4030217199997</v>
      </c>
      <c r="AL13" s="11">
        <f t="shared" si="50"/>
        <v>5057.25287308924</v>
      </c>
      <c r="AM13" s="11">
        <f t="shared" si="50"/>
        <v>5543.2261719317567</v>
      </c>
      <c r="AN13" s="11">
        <f t="shared" si="50"/>
        <v>6037.4610168545969</v>
      </c>
      <c r="AO13" s="11">
        <f t="shared" si="50"/>
        <v>6540.097854141125</v>
      </c>
      <c r="AP13" s="11">
        <f t="shared" si="50"/>
        <v>7051.2795176615246</v>
      </c>
      <c r="AQ13" s="11">
        <f t="shared" si="50"/>
        <v>7571.1512694617704</v>
      </c>
      <c r="AR13" s="11">
        <f t="shared" si="50"/>
        <v>8099.8608410426205</v>
      </c>
      <c r="AS13" s="11">
        <f t="shared" si="50"/>
        <v>8637.5584753403455</v>
      </c>
      <c r="AT13" s="11">
        <f t="shared" ref="AT13" si="51">+AT11+AT12</f>
        <v>9184.3969694211301</v>
      </c>
      <c r="AU13" s="11">
        <f t="shared" ref="AU13" si="52">+AU11+AU12</f>
        <v>5340.53171790129</v>
      </c>
      <c r="AV13" s="11">
        <f t="shared" ref="AV13" si="53">+AV11+AV12</f>
        <v>4631.3207571056118</v>
      </c>
      <c r="AW13" s="11">
        <f t="shared" ref="AW13" si="54">+AW11+AW12</f>
        <v>4070.0532099764077</v>
      </c>
      <c r="AX13" s="11">
        <f t="shared" ref="AX13" si="55">+AX11+AX12</f>
        <v>3627.2441145460061</v>
      </c>
    </row>
    <row r="14" spans="1:50" s="11" customFormat="1" x14ac:dyDescent="0.2">
      <c r="B14" s="11" t="s">
        <v>43</v>
      </c>
      <c r="C14" s="18"/>
      <c r="D14" s="18"/>
      <c r="E14" s="18"/>
      <c r="F14" s="18"/>
      <c r="G14" s="18">
        <v>11.183999999999999</v>
      </c>
      <c r="H14" s="18">
        <v>1.651</v>
      </c>
      <c r="I14" s="18">
        <v>-2.7490000000000001</v>
      </c>
      <c r="J14" s="18">
        <f>8.522-I14-H14-G14</f>
        <v>-1.5639999999999983</v>
      </c>
      <c r="K14" s="18">
        <v>-2.8849999999999998</v>
      </c>
      <c r="L14" s="18">
        <v>-8.2289999999999992</v>
      </c>
      <c r="M14" s="18">
        <v>-5.9820000000000002</v>
      </c>
      <c r="N14" s="18">
        <v>-2.625</v>
      </c>
      <c r="O14" s="18">
        <v>-47.307000000000002</v>
      </c>
      <c r="P14" s="18">
        <v>-44.069000000000003</v>
      </c>
      <c r="Q14" s="18">
        <v>-10.637</v>
      </c>
      <c r="R14" s="18">
        <v>37.994</v>
      </c>
      <c r="S14" s="18">
        <v>-12.753</v>
      </c>
      <c r="T14" s="18">
        <v>10.507</v>
      </c>
      <c r="U14" s="18">
        <v>-3.3860000000000001</v>
      </c>
      <c r="V14" s="18"/>
      <c r="W14" s="18"/>
      <c r="AD14" s="11">
        <v>3.1030000000000002</v>
      </c>
      <c r="AE14" s="11">
        <f t="shared" si="47"/>
        <v>8.5220000000000002</v>
      </c>
      <c r="AI14" s="11">
        <f>+AI13*0.15</f>
        <v>430.12200000000001</v>
      </c>
      <c r="AJ14" s="11">
        <f t="shared" ref="AJ14:AS14" si="56">+AJ13*0.15</f>
        <v>557.43407400000001</v>
      </c>
      <c r="AK14" s="11">
        <f t="shared" si="56"/>
        <v>686.91045325799996</v>
      </c>
      <c r="AL14" s="11">
        <f t="shared" si="56"/>
        <v>758.58793096338593</v>
      </c>
      <c r="AM14" s="11">
        <f t="shared" si="56"/>
        <v>831.48392578976348</v>
      </c>
      <c r="AN14" s="11">
        <f t="shared" si="56"/>
        <v>905.61915252818949</v>
      </c>
      <c r="AO14" s="11">
        <f t="shared" si="56"/>
        <v>981.01467812116869</v>
      </c>
      <c r="AP14" s="11">
        <f t="shared" si="56"/>
        <v>1057.6919276492285</v>
      </c>
      <c r="AQ14" s="11">
        <f t="shared" si="56"/>
        <v>1135.6726904192656</v>
      </c>
      <c r="AR14" s="11">
        <f t="shared" si="56"/>
        <v>1214.979126156393</v>
      </c>
      <c r="AS14" s="11">
        <f t="shared" si="56"/>
        <v>1295.6337713010519</v>
      </c>
      <c r="AT14" s="11">
        <f t="shared" ref="AT14" si="57">+AT13*0.15</f>
        <v>1377.6595454131696</v>
      </c>
      <c r="AU14" s="11">
        <f t="shared" ref="AU14" si="58">+AU13*0.15</f>
        <v>801.0797576851935</v>
      </c>
      <c r="AV14" s="11">
        <f t="shared" ref="AV14" si="59">+AV13*0.15</f>
        <v>694.69811356584171</v>
      </c>
      <c r="AW14" s="11">
        <f t="shared" ref="AW14" si="60">+AW13*0.15</f>
        <v>610.50798149646118</v>
      </c>
      <c r="AX14" s="11">
        <f t="shared" ref="AX14" si="61">+AX13*0.15</f>
        <v>544.08661718190092</v>
      </c>
    </row>
    <row r="15" spans="1:50" s="11" customFormat="1" x14ac:dyDescent="0.2">
      <c r="B15" s="11" t="s">
        <v>42</v>
      </c>
      <c r="C15" s="18"/>
      <c r="D15" s="18"/>
      <c r="E15" s="18"/>
      <c r="F15" s="18"/>
      <c r="G15" s="18">
        <f t="shared" ref="G15:U15" si="62">+G13-G14</f>
        <v>-11.618000000000009</v>
      </c>
      <c r="H15" s="18">
        <f t="shared" si="62"/>
        <v>93.161000000000001</v>
      </c>
      <c r="I15" s="18">
        <f t="shared" si="62"/>
        <v>-210.50399999999999</v>
      </c>
      <c r="J15" s="18">
        <f t="shared" si="62"/>
        <v>-229.251</v>
      </c>
      <c r="K15" s="18">
        <f t="shared" si="62"/>
        <v>-219.97300000000001</v>
      </c>
      <c r="L15" s="18">
        <f t="shared" si="62"/>
        <v>-162.58099999999996</v>
      </c>
      <c r="M15" s="18">
        <f t="shared" si="62"/>
        <v>-195.43300000000002</v>
      </c>
      <c r="N15" s="18">
        <f t="shared" si="62"/>
        <v>-98.19500000000005</v>
      </c>
      <c r="O15" s="18">
        <f t="shared" si="62"/>
        <v>-39.796999999999983</v>
      </c>
      <c r="P15" s="18">
        <f t="shared" si="62"/>
        <v>-35.965000000000018</v>
      </c>
      <c r="Q15" s="18">
        <f t="shared" si="62"/>
        <v>-39.159000000000027</v>
      </c>
      <c r="R15" s="18">
        <f t="shared" si="62"/>
        <v>-134.80199999999996</v>
      </c>
      <c r="S15" s="18">
        <f t="shared" si="62"/>
        <v>-40.410999999999966</v>
      </c>
      <c r="T15" s="18">
        <f t="shared" si="62"/>
        <v>-15.513999999999998</v>
      </c>
      <c r="U15" s="18">
        <f t="shared" si="62"/>
        <v>60.14300000000005</v>
      </c>
      <c r="V15" s="18"/>
      <c r="W15" s="18"/>
      <c r="AD15" s="11">
        <f>+AD13-AD14</f>
        <v>-482.221</v>
      </c>
      <c r="AE15" s="11">
        <f>+AE13-AE14</f>
        <v>-358.21199999999999</v>
      </c>
      <c r="AI15" s="11">
        <f>+AI13-AI14</f>
        <v>2437.3580000000002</v>
      </c>
      <c r="AJ15" s="11">
        <f t="shared" ref="AJ15:AS15" si="63">+AJ13-AJ14</f>
        <v>3158.7930859999997</v>
      </c>
      <c r="AK15" s="11">
        <f t="shared" si="63"/>
        <v>3892.4925684619998</v>
      </c>
      <c r="AL15" s="11">
        <f t="shared" si="63"/>
        <v>4298.6649421258544</v>
      </c>
      <c r="AM15" s="11">
        <f t="shared" si="63"/>
        <v>4711.7422461419928</v>
      </c>
      <c r="AN15" s="11">
        <f t="shared" si="63"/>
        <v>5131.8418643264076</v>
      </c>
      <c r="AO15" s="11">
        <f t="shared" si="63"/>
        <v>5559.0831760199562</v>
      </c>
      <c r="AP15" s="11">
        <f t="shared" si="63"/>
        <v>5993.5875900122955</v>
      </c>
      <c r="AQ15" s="11">
        <f t="shared" si="63"/>
        <v>6435.4785790425049</v>
      </c>
      <c r="AR15" s="11">
        <f t="shared" si="63"/>
        <v>6884.8817148862272</v>
      </c>
      <c r="AS15" s="11">
        <f t="shared" si="63"/>
        <v>7341.9247040392938</v>
      </c>
      <c r="AT15" s="11">
        <f t="shared" ref="AT15" si="64">+AT13-AT14</f>
        <v>7806.7374240079607</v>
      </c>
      <c r="AU15" s="11">
        <f t="shared" ref="AU15" si="65">+AU13-AU14</f>
        <v>4539.4519602160963</v>
      </c>
      <c r="AV15" s="11">
        <f t="shared" ref="AV15" si="66">+AV13-AV14</f>
        <v>3936.6226435397703</v>
      </c>
      <c r="AW15" s="11">
        <f t="shared" ref="AW15" si="67">+AW13-AW14</f>
        <v>3459.5452284799467</v>
      </c>
      <c r="AX15" s="11">
        <f t="shared" ref="AX15" si="68">+AX13-AX14</f>
        <v>3083.1574973641054</v>
      </c>
    </row>
    <row r="16" spans="1:50" x14ac:dyDescent="0.2">
      <c r="B16" t="s">
        <v>41</v>
      </c>
      <c r="G16" s="16">
        <f t="shared" ref="G16:O16" si="69">+G15/G17</f>
        <v>-0.23260882165652619</v>
      </c>
      <c r="H16" s="16">
        <f t="shared" si="69"/>
        <v>1.8147777385731643</v>
      </c>
      <c r="I16" s="16">
        <f t="shared" si="69"/>
        <v>-4.0901030441563018</v>
      </c>
      <c r="J16" s="16">
        <f t="shared" si="69"/>
        <v>-4.4884442106047544</v>
      </c>
      <c r="K16" s="16">
        <f t="shared" si="69"/>
        <v>-4.2234003755639771</v>
      </c>
      <c r="L16" s="16">
        <f t="shared" si="69"/>
        <v>-2.9666799440804881</v>
      </c>
      <c r="M16" s="16">
        <f t="shared" si="69"/>
        <v>-3.5402184873447244</v>
      </c>
      <c r="N16" s="16">
        <f t="shared" si="69"/>
        <v>-1.7736214881680428</v>
      </c>
      <c r="O16" s="16">
        <f t="shared" si="69"/>
        <v>-0.71635076516528962</v>
      </c>
      <c r="P16" s="16">
        <f t="shared" ref="P16:U16" si="70">+P15/P17</f>
        <v>-0.64420803242602753</v>
      </c>
      <c r="Q16" s="16">
        <f t="shared" si="70"/>
        <v>-0.67366575550301044</v>
      </c>
      <c r="R16" s="16">
        <f t="shared" si="70"/>
        <v>-2.2801873250969602</v>
      </c>
      <c r="S16" s="16">
        <f t="shared" si="70"/>
        <v>-0.68135226311598418</v>
      </c>
      <c r="T16" s="16">
        <f t="shared" si="70"/>
        <v>-0.26078140928768095</v>
      </c>
      <c r="U16" s="16">
        <f t="shared" si="70"/>
        <v>1.0009236863215716</v>
      </c>
      <c r="AD16" s="1">
        <f>+AD15/AD17</f>
        <v>-10.619165521445485</v>
      </c>
      <c r="AE16" s="1">
        <f>+AE15/AE17</f>
        <v>-7.0298407971513539</v>
      </c>
    </row>
    <row r="17" spans="2:53" s="14" customFormat="1" x14ac:dyDescent="0.2">
      <c r="B17" s="14" t="s">
        <v>1</v>
      </c>
      <c r="C17" s="15"/>
      <c r="D17" s="15"/>
      <c r="E17" s="15"/>
      <c r="F17" s="15"/>
      <c r="G17" s="15">
        <v>49.946514999999998</v>
      </c>
      <c r="H17" s="15">
        <v>51.334660999999997</v>
      </c>
      <c r="I17" s="15">
        <v>51.466673999999998</v>
      </c>
      <c r="J17" s="15">
        <v>51.075826999999997</v>
      </c>
      <c r="K17" s="15">
        <v>52.084335000000003</v>
      </c>
      <c r="L17" s="15">
        <v>54.802339000000003</v>
      </c>
      <c r="M17" s="15">
        <v>55.203654999999998</v>
      </c>
      <c r="N17" s="15">
        <v>55.364123999999997</v>
      </c>
      <c r="O17" s="15">
        <v>55.555185999999999</v>
      </c>
      <c r="P17" s="15">
        <v>55.828239000000004</v>
      </c>
      <c r="Q17" s="15">
        <v>58.128233000000002</v>
      </c>
      <c r="R17" s="15">
        <v>59.118827000000003</v>
      </c>
      <c r="S17" s="15">
        <v>59.309995999999998</v>
      </c>
      <c r="T17" s="15">
        <v>59.490437</v>
      </c>
      <c r="U17" s="15">
        <v>60.087497999999997</v>
      </c>
      <c r="V17" s="15"/>
      <c r="W17" s="15"/>
      <c r="AD17" s="14">
        <v>45.410442000000003</v>
      </c>
      <c r="AE17" s="14">
        <f>AVERAGE(G17:J17)</f>
        <v>50.955919249999994</v>
      </c>
    </row>
    <row r="18" spans="2:53" x14ac:dyDescent="0.2">
      <c r="AZ18" t="s">
        <v>56</v>
      </c>
      <c r="BA18" s="22">
        <v>0.08</v>
      </c>
    </row>
    <row r="19" spans="2:53" x14ac:dyDescent="0.2">
      <c r="B19" t="s">
        <v>3</v>
      </c>
      <c r="AH19">
        <v>3374</v>
      </c>
      <c r="AI19" s="11">
        <f>+AH19+AI15</f>
        <v>5811.3580000000002</v>
      </c>
      <c r="AJ19" s="11">
        <f t="shared" ref="AJ19:AX19" si="71">+AI19+AJ15</f>
        <v>8970.1510859999999</v>
      </c>
      <c r="AK19" s="11">
        <f t="shared" si="71"/>
        <v>12862.643654461999</v>
      </c>
      <c r="AL19" s="11">
        <f t="shared" si="71"/>
        <v>17161.308596587853</v>
      </c>
      <c r="AM19" s="11">
        <f t="shared" si="71"/>
        <v>21873.050842729845</v>
      </c>
      <c r="AN19" s="11">
        <f t="shared" si="71"/>
        <v>27004.892707056253</v>
      </c>
      <c r="AO19" s="11">
        <f t="shared" si="71"/>
        <v>32563.975883076208</v>
      </c>
      <c r="AP19" s="11">
        <f t="shared" si="71"/>
        <v>38557.563473088507</v>
      </c>
      <c r="AQ19" s="11">
        <f t="shared" si="71"/>
        <v>44993.042052131015</v>
      </c>
      <c r="AR19" s="11">
        <f t="shared" si="71"/>
        <v>51877.923767017244</v>
      </c>
      <c r="AS19" s="11">
        <f t="shared" si="71"/>
        <v>59219.848471056539</v>
      </c>
      <c r="AT19" s="11">
        <f t="shared" si="71"/>
        <v>67026.585895064505</v>
      </c>
      <c r="AU19" s="11">
        <f t="shared" si="71"/>
        <v>71566.037855280607</v>
      </c>
      <c r="AV19" s="11">
        <f t="shared" si="71"/>
        <v>75502.660498820376</v>
      </c>
      <c r="AW19" s="11">
        <f t="shared" si="71"/>
        <v>78962.205727300316</v>
      </c>
      <c r="AX19" s="11">
        <f t="shared" si="71"/>
        <v>82045.363224664427</v>
      </c>
      <c r="AZ19" t="s">
        <v>64</v>
      </c>
      <c r="BA19" s="22">
        <v>0.02</v>
      </c>
    </row>
    <row r="20" spans="2:53" x14ac:dyDescent="0.2">
      <c r="AZ20" t="s">
        <v>57</v>
      </c>
      <c r="BA20" s="11">
        <f>NPV(BA18,AI15:AX15)+Main!K5-Main!K6</f>
        <v>45168.399374084111</v>
      </c>
    </row>
    <row r="21" spans="2:53" x14ac:dyDescent="0.2">
      <c r="AZ21" t="s">
        <v>63</v>
      </c>
      <c r="BA21" s="1">
        <f>BA20/Main!K3</f>
        <v>751.55406612452759</v>
      </c>
    </row>
    <row r="22" spans="2:53" x14ac:dyDescent="0.2">
      <c r="AZ22" t="s">
        <v>65</v>
      </c>
      <c r="BA22" s="22">
        <f>+BA21/541-1</f>
        <v>0.38919420725421006</v>
      </c>
    </row>
  </sheetData>
  <hyperlinks>
    <hyperlink ref="A1" location="Main!A1" display="Main" xr:uid="{1B35E4B9-9CA0-4AD7-893A-ABF700E55CB1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DDFC-CAB0-4107-91CA-8EC6E676B90E}">
  <dimension ref="A1:C37"/>
  <sheetViews>
    <sheetView zoomScaleNormal="100" workbookViewId="0">
      <selection activeCell="K25" sqref="K25"/>
    </sheetView>
  </sheetViews>
  <sheetFormatPr defaultRowHeight="12.75" x14ac:dyDescent="0.2"/>
  <cols>
    <col min="1" max="1" width="5" bestFit="1" customWidth="1"/>
    <col min="2" max="2" width="13.5703125" customWidth="1"/>
  </cols>
  <sheetData>
    <row r="1" spans="1:3" x14ac:dyDescent="0.2">
      <c r="A1" s="13" t="s">
        <v>16</v>
      </c>
    </row>
    <row r="3" spans="1:3" x14ac:dyDescent="0.2">
      <c r="B3" s="23" t="s">
        <v>53</v>
      </c>
      <c r="C3" t="s">
        <v>70</v>
      </c>
    </row>
    <row r="4" spans="1:3" x14ac:dyDescent="0.2">
      <c r="B4" s="23" t="s">
        <v>54</v>
      </c>
      <c r="C4" t="s">
        <v>71</v>
      </c>
    </row>
    <row r="6" spans="1:3" x14ac:dyDescent="0.2">
      <c r="B6" s="21" t="s">
        <v>8</v>
      </c>
    </row>
    <row r="7" spans="1:3" x14ac:dyDescent="0.2">
      <c r="B7" s="26" t="s">
        <v>86</v>
      </c>
    </row>
    <row r="8" spans="1:3" x14ac:dyDescent="0.2">
      <c r="B8" s="26" t="s">
        <v>87</v>
      </c>
    </row>
    <row r="9" spans="1:3" x14ac:dyDescent="0.2">
      <c r="B9" s="26" t="s">
        <v>88</v>
      </c>
      <c r="C9" s="21"/>
    </row>
    <row r="10" spans="1:3" x14ac:dyDescent="0.2">
      <c r="B10" s="24"/>
    </row>
    <row r="11" spans="1:3" x14ac:dyDescent="0.2">
      <c r="B11" s="21" t="s">
        <v>13</v>
      </c>
    </row>
    <row r="12" spans="1:3" x14ac:dyDescent="0.2">
      <c r="B12" t="s">
        <v>69</v>
      </c>
    </row>
    <row r="13" spans="1:3" x14ac:dyDescent="0.2">
      <c r="C13" s="21"/>
    </row>
    <row r="14" spans="1:3" x14ac:dyDescent="0.2">
      <c r="B14" s="21" t="s">
        <v>55</v>
      </c>
    </row>
    <row r="15" spans="1:3" x14ac:dyDescent="0.2">
      <c r="B15" s="26" t="s">
        <v>85</v>
      </c>
    </row>
    <row r="16" spans="1:3" x14ac:dyDescent="0.2">
      <c r="B16" s="26" t="s">
        <v>84</v>
      </c>
      <c r="C16" s="21"/>
    </row>
    <row r="17" spans="2:2" x14ac:dyDescent="0.2">
      <c r="B17" s="26" t="s">
        <v>83</v>
      </c>
    </row>
    <row r="19" spans="2:2" x14ac:dyDescent="0.2">
      <c r="B19" s="21" t="s">
        <v>66</v>
      </c>
    </row>
    <row r="21" spans="2:2" x14ac:dyDescent="0.2">
      <c r="B21" s="23" t="s">
        <v>72</v>
      </c>
    </row>
    <row r="22" spans="2:2" x14ac:dyDescent="0.2">
      <c r="B22" t="s">
        <v>73</v>
      </c>
    </row>
    <row r="23" spans="2:2" x14ac:dyDescent="0.2">
      <c r="B23" t="s">
        <v>74</v>
      </c>
    </row>
    <row r="24" spans="2:2" x14ac:dyDescent="0.2">
      <c r="B24" t="s">
        <v>75</v>
      </c>
    </row>
    <row r="26" spans="2:2" x14ac:dyDescent="0.2">
      <c r="B26" s="23" t="s">
        <v>76</v>
      </c>
    </row>
    <row r="27" spans="2:2" x14ac:dyDescent="0.2">
      <c r="B27" t="s">
        <v>77</v>
      </c>
    </row>
    <row r="28" spans="2:2" x14ac:dyDescent="0.2">
      <c r="B28" t="s">
        <v>78</v>
      </c>
    </row>
    <row r="30" spans="2:2" x14ac:dyDescent="0.2">
      <c r="B30" s="23" t="s">
        <v>79</v>
      </c>
    </row>
    <row r="31" spans="2:2" x14ac:dyDescent="0.2">
      <c r="B31" t="s">
        <v>80</v>
      </c>
    </row>
    <row r="33" spans="2:2" x14ac:dyDescent="0.2">
      <c r="B33" s="23" t="s">
        <v>67</v>
      </c>
    </row>
    <row r="34" spans="2:2" x14ac:dyDescent="0.2">
      <c r="B34" t="s">
        <v>81</v>
      </c>
    </row>
    <row r="36" spans="2:2" x14ac:dyDescent="0.2">
      <c r="B36" s="23" t="s">
        <v>68</v>
      </c>
    </row>
    <row r="37" spans="2:2" x14ac:dyDescent="0.2">
      <c r="B37" t="s">
        <v>82</v>
      </c>
    </row>
  </sheetData>
  <hyperlinks>
    <hyperlink ref="A1" location="Main!A1" display="Main" xr:uid="{0C08CF14-CC91-41AC-BAF3-B0CBCD402D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Vyvgart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2022-12-05T15:25:37Z</dcterms:created>
  <dcterms:modified xsi:type="dcterms:W3CDTF">2025-10-07T23:19:41Z</dcterms:modified>
</cp:coreProperties>
</file>