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en\Downloads\"/>
    </mc:Choice>
  </mc:AlternateContent>
  <xr:revisionPtr revIDLastSave="0" documentId="8_{74824F1F-3D05-4B8F-B6D2-CC7FE59EED13}" xr6:coauthVersionLast="47" xr6:coauthVersionMax="47" xr10:uidLastSave="{00000000-0000-0000-0000-000000000000}"/>
  <bookViews>
    <workbookView xWindow="3900" yWindow="3900" windowWidth="18075" windowHeight="16020" xr2:uid="{B800F92B-7810-4F20-A331-02C75D15CFD2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20" i="2" l="1"/>
  <c r="Z20" i="2"/>
  <c r="AA20" i="2"/>
  <c r="N15" i="2"/>
  <c r="N14" i="2"/>
  <c r="N16" i="2"/>
  <c r="N17" i="2" s="1"/>
  <c r="N18" i="2"/>
  <c r="N21" i="2"/>
  <c r="N20" i="2"/>
  <c r="L20" i="2"/>
  <c r="M20" i="2"/>
  <c r="K20" i="2"/>
  <c r="N10" i="2"/>
  <c r="N9" i="2"/>
  <c r="N8" i="2"/>
  <c r="N11" i="2" s="1"/>
  <c r="Y11" i="2"/>
  <c r="X11" i="2"/>
  <c r="Y6" i="2"/>
  <c r="X6" i="2"/>
  <c r="X5" i="2"/>
  <c r="X7" i="2" s="1"/>
  <c r="X21" i="2" s="1"/>
  <c r="Y5" i="2"/>
  <c r="Y7" i="2" s="1"/>
  <c r="Y21" i="2" s="1"/>
  <c r="J15" i="2"/>
  <c r="Z15" i="2" s="1"/>
  <c r="J13" i="2"/>
  <c r="J10" i="2"/>
  <c r="J9" i="2"/>
  <c r="J8" i="2"/>
  <c r="Z18" i="2"/>
  <c r="Z13" i="2"/>
  <c r="Z10" i="2"/>
  <c r="Z9" i="2"/>
  <c r="Z8" i="2"/>
  <c r="J4" i="2"/>
  <c r="N4" i="2" s="1"/>
  <c r="AA4" i="2" s="1"/>
  <c r="J3" i="2"/>
  <c r="Z3" i="2" s="1"/>
  <c r="Z2" i="2"/>
  <c r="AA2" i="2" s="1"/>
  <c r="AB2" i="2" s="1"/>
  <c r="AC2" i="2" s="1"/>
  <c r="AD2" i="2" s="1"/>
  <c r="AE2" i="2" s="1"/>
  <c r="AF2" i="2" s="1"/>
  <c r="AG2" i="2" s="1"/>
  <c r="AH2" i="2" s="1"/>
  <c r="AI2" i="2" s="1"/>
  <c r="AJ2" i="2" s="1"/>
  <c r="G28" i="2"/>
  <c r="K28" i="2"/>
  <c r="G6" i="2"/>
  <c r="G11" i="2"/>
  <c r="G5" i="2"/>
  <c r="G7" i="2" s="1"/>
  <c r="K6" i="2"/>
  <c r="K5" i="2"/>
  <c r="H27" i="2"/>
  <c r="I27" i="2" s="1"/>
  <c r="L27" i="2"/>
  <c r="M27" i="2" s="1"/>
  <c r="H26" i="2"/>
  <c r="I26" i="2" s="1"/>
  <c r="I28" i="2" s="1"/>
  <c r="H25" i="2"/>
  <c r="I25" i="2" s="1"/>
  <c r="L26" i="2"/>
  <c r="M26" i="2" s="1"/>
  <c r="L25" i="2"/>
  <c r="M25" i="2" s="1"/>
  <c r="H6" i="2"/>
  <c r="H11" i="2"/>
  <c r="H5" i="2"/>
  <c r="L6" i="2"/>
  <c r="L5" i="2"/>
  <c r="L7" i="2" s="1"/>
  <c r="L21" i="2" s="1"/>
  <c r="M11" i="2"/>
  <c r="L11" i="2"/>
  <c r="K11" i="2"/>
  <c r="J11" i="2"/>
  <c r="I11" i="2"/>
  <c r="I6" i="2"/>
  <c r="M6" i="2"/>
  <c r="I5" i="2"/>
  <c r="M5" i="2"/>
  <c r="J5" i="1"/>
  <c r="J4" i="1"/>
  <c r="J7" i="1" s="1"/>
  <c r="Y12" i="2" l="1"/>
  <c r="Y14" i="2" s="1"/>
  <c r="Y16" i="2" s="1"/>
  <c r="J5" i="2"/>
  <c r="J6" i="2"/>
  <c r="Z6" i="2" s="1"/>
  <c r="Z4" i="2"/>
  <c r="Z5" i="2" s="1"/>
  <c r="Z7" i="2" s="1"/>
  <c r="Z21" i="2" s="1"/>
  <c r="X12" i="2"/>
  <c r="X14" i="2" s="1"/>
  <c r="X16" i="2" s="1"/>
  <c r="M7" i="2"/>
  <c r="M21" i="2" s="1"/>
  <c r="N3" i="2"/>
  <c r="I7" i="2"/>
  <c r="I12" i="2" s="1"/>
  <c r="I14" i="2" s="1"/>
  <c r="I16" i="2" s="1"/>
  <c r="Z11" i="2"/>
  <c r="K7" i="2"/>
  <c r="K21" i="2" s="1"/>
  <c r="H7" i="2"/>
  <c r="H12" i="2" s="1"/>
  <c r="H14" i="2" s="1"/>
  <c r="H16" i="2" s="1"/>
  <c r="H28" i="2"/>
  <c r="L28" i="2"/>
  <c r="M28" i="2"/>
  <c r="G21" i="2"/>
  <c r="G12" i="2"/>
  <c r="G14" i="2" s="1"/>
  <c r="G16" i="2" s="1"/>
  <c r="L12" i="2"/>
  <c r="L14" i="2" s="1"/>
  <c r="L16" i="2" s="1"/>
  <c r="K12" i="2"/>
  <c r="K14" i="2" s="1"/>
  <c r="K16" i="2" s="1"/>
  <c r="AA3" i="2" l="1"/>
  <c r="AA5" i="2" s="1"/>
  <c r="N5" i="2"/>
  <c r="M12" i="2"/>
  <c r="M14" i="2" s="1"/>
  <c r="M16" i="2" s="1"/>
  <c r="Z12" i="2"/>
  <c r="Z14" i="2" s="1"/>
  <c r="Z16" i="2" s="1"/>
  <c r="I21" i="2"/>
  <c r="J7" i="2"/>
  <c r="H21" i="2"/>
  <c r="M24" i="2"/>
  <c r="M17" i="2"/>
  <c r="G17" i="2"/>
  <c r="G24" i="2"/>
  <c r="I24" i="2"/>
  <c r="I17" i="2"/>
  <c r="K24" i="2"/>
  <c r="K17" i="2"/>
  <c r="H17" i="2"/>
  <c r="H24" i="2"/>
  <c r="L24" i="2"/>
  <c r="L17" i="2"/>
  <c r="J21" i="2" l="1"/>
  <c r="J12" i="2"/>
  <c r="J14" i="2" s="1"/>
  <c r="J16" i="2" s="1"/>
  <c r="J17" i="2" s="1"/>
  <c r="N7" i="2"/>
  <c r="N12" i="2" s="1"/>
  <c r="N6" i="2"/>
</calcChain>
</file>

<file path=xl/sharedStrings.xml><?xml version="1.0" encoding="utf-8"?>
<sst xmlns="http://schemas.openxmlformats.org/spreadsheetml/2006/main" count="61" uniqueCount="57">
  <si>
    <t>Price</t>
  </si>
  <si>
    <t>Shares</t>
  </si>
  <si>
    <t>MC</t>
  </si>
  <si>
    <t>Cash</t>
  </si>
  <si>
    <t>Debt</t>
  </si>
  <si>
    <t>EV</t>
  </si>
  <si>
    <t>Q322</t>
  </si>
  <si>
    <t>Main</t>
  </si>
  <si>
    <t>Revenue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</si>
  <si>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</si>
  <si>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</si>
  <si>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</si>
  <si>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</si>
  <si>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</si>
  <si>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</si>
  <si>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</si>
  <si>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</si>
  <si>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</si>
  <si>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</si>
  <si>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Q422</t>
  </si>
  <si>
    <t>Product</t>
  </si>
  <si>
    <t>Subscription</t>
  </si>
  <si>
    <t>Gross Profit</t>
  </si>
  <si>
    <t>COGS</t>
  </si>
  <si>
    <t>Gross Margin</t>
  </si>
  <si>
    <t>R&amp;D</t>
  </si>
  <si>
    <t>S&amp;M</t>
  </si>
  <si>
    <t>G&amp;A</t>
  </si>
  <si>
    <t>OpEx</t>
  </si>
  <si>
    <t>OpInc</t>
  </si>
  <si>
    <t>Interest</t>
  </si>
  <si>
    <t>Pretax</t>
  </si>
  <si>
    <t>Taxes</t>
  </si>
  <si>
    <t>Net Income</t>
  </si>
  <si>
    <t>Q123</t>
  </si>
  <si>
    <t>Q223</t>
  </si>
  <si>
    <t>Q323</t>
  </si>
  <si>
    <t>Q423</t>
  </si>
  <si>
    <t>EPS</t>
  </si>
  <si>
    <t>Model NI</t>
  </si>
  <si>
    <t>Reported NI</t>
  </si>
  <si>
    <t>CFFO</t>
  </si>
  <si>
    <t>CapEx</t>
  </si>
  <si>
    <t>FCF</t>
  </si>
  <si>
    <t>Apple 17% customer</t>
  </si>
  <si>
    <t>Google 17% customer</t>
  </si>
  <si>
    <t>Sony 15% customer</t>
  </si>
  <si>
    <t>Candy Crush</t>
  </si>
  <si>
    <t>Revenue y/y</t>
  </si>
  <si>
    <t>Call of Duty: Modern Warfare II</t>
  </si>
  <si>
    <t>Call of Duty: Warzone</t>
  </si>
  <si>
    <t>Call of Duty: Warzone Mobile</t>
  </si>
  <si>
    <t>Overwatch 2 (10/4/2022)</t>
  </si>
  <si>
    <t>World of Warcraft: Wrath of the Lich King Classic</t>
  </si>
  <si>
    <t>World of Warcraft: Dragonflight</t>
  </si>
  <si>
    <t>Diablo Immortal</t>
  </si>
  <si>
    <t>Diablo II: Resurrected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</si>
</sst>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9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  <xf numFmtId="0" fontId="2" fillId="0" borderId="0" xfId="1"/>
    <xf numFmtId="9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41672</xdr:colOff>
      <xdr:row>0</xdr:row>
      <xdr:rowOff>0</xdr:rowOff>
    </xdr:from>
    <xdr:to>
      <xdr:col>13</xdr:col>
      <xdr:colOff>41672</xdr:colOff>
      <xdr:row>45</xdr:row>
      <xdr:rowOff>77391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48500619-E2C1-C6D4-F27C-559219964E30}"/>
            </a:ext>
          </a:extLst>
        </xdr:cNvPr>
        <xdr:cNvCxnSpPr/>
      </xdr:nvCxnSpPr>
      <xdr:spPr>
        <a:xfrm>
          <a:off x="7893844" y="0"/>
          <a:ext cx="0" cy="682823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33337</xdr:colOff>
      <xdr:row>0</xdr:row>
      <xdr:rowOff>0</xdr:rowOff>
    </xdr:from>
    <xdr:to>
      <xdr:col>26</xdr:col>
      <xdr:colOff>33337</xdr:colOff>
      <xdr:row>45</xdr:row>
      <xdr:rowOff>77391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92A7E9AB-0E11-46E2-AD53-B7295D24B7F5}"/>
            </a:ext>
          </a:extLst>
        </xdr:cNvPr>
        <xdr:cNvCxnSpPr/>
      </xdr:nvCxnSpPr>
      <xdr:spPr>
        <a:xfrm>
          <a:off x="15779353" y="0"/>
          <a:ext cx="0" cy="714970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5BD5E1-E7F3-4D0C-AFC0-0020E8AD0807}">
  <dimension ref="B2:L18"/>
  <sheetViews>
    <sheetView tabSelected="1" zoomScaleNormal="100" workbookViewId="0">
      <selection activeCell="M25" sqref="M25"/>
    </sheetView>
  </sheetViews>
  <sheetFormatPr defaultRowHeight="12.75" x14ac:dyDescent="0.2"/>
  <cols>
    <col min="1" max="1" width="2.85546875" customWidth="1"/>
  </cols>
  <sheetData>
    <row r="2" spans="2:12" x14ac:dyDescent="0.2">
      <c r="B2" t="s">
        <v>49</v>
      </c>
      <c r="I2" t="s">
        <v>0</v>
      </c>
      <c r="J2" s="1">
        <v>73</v>
      </c>
      <c r="L2" s="10"/>
    </row>
    <row r="3" spans="2:12" x14ac:dyDescent="0.2">
      <c r="B3" t="s">
        <v>50</v>
      </c>
      <c r="I3" t="s">
        <v>1</v>
      </c>
      <c r="J3" s="2">
        <v>782.62531899999999</v>
      </c>
      <c r="K3" s="3" t="s">
        <v>6</v>
      </c>
    </row>
    <row r="4" spans="2:12" x14ac:dyDescent="0.2">
      <c r="B4" t="s">
        <v>51</v>
      </c>
      <c r="I4" t="s">
        <v>2</v>
      </c>
      <c r="J4" s="2">
        <f>+J2*J3</f>
        <v>57131.648286999996</v>
      </c>
    </row>
    <row r="5" spans="2:12" x14ac:dyDescent="0.2">
      <c r="B5" t="s">
        <v>52</v>
      </c>
      <c r="I5" t="s">
        <v>3</v>
      </c>
      <c r="J5" s="2">
        <f>7743+2945</f>
        <v>10688</v>
      </c>
      <c r="K5" s="3" t="s">
        <v>6</v>
      </c>
    </row>
    <row r="6" spans="2:12" x14ac:dyDescent="0.2">
      <c r="I6" t="s">
        <v>4</v>
      </c>
      <c r="J6" s="2">
        <v>3610</v>
      </c>
      <c r="K6" s="3" t="s">
        <v>6</v>
      </c>
    </row>
    <row r="7" spans="2:12" x14ac:dyDescent="0.2">
      <c r="B7" t="s">
        <v>53</v>
      </c>
      <c r="I7" t="s">
        <v>5</v>
      </c>
      <c r="J7" s="2">
        <f>+J4-J5+J6</f>
        <v>50053.648286999996</v>
      </c>
    </row>
    <row r="8" spans="2:12" x14ac:dyDescent="0.2">
      <c r="B8" t="s">
        <v>54</v>
      </c>
    </row>
    <row r="9" spans="2:12" x14ac:dyDescent="0.2">
      <c r="B9" t="s">
        <v>55</v>
      </c>
    </row>
    <row r="10" spans="2:12" x14ac:dyDescent="0.2">
      <c r="B10" t="s">
        <v>56</v>
      </c>
    </row>
    <row r="12" spans="2:12" x14ac:dyDescent="0.2">
      <c r="B12" t="s">
        <v>47</v>
      </c>
    </row>
    <row r="16" spans="2:12" x14ac:dyDescent="0.2">
      <c r="B16" t="s">
        <v>44</v>
      </c>
    </row>
    <row r="17" spans="2:2" x14ac:dyDescent="0.2">
      <c r="B17" t="s">
        <v>45</v>
      </c>
    </row>
    <row r="18" spans="2:2" x14ac:dyDescent="0.2">
      <c r="B18" t="s">
        <v>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6DEB33-748D-444B-9269-8EC76485D9F7}">
  <dimension ref="A1:AJ28"/>
  <sheetViews>
    <sheetView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P12" sqref="P12"/>
    </sheetView>
  </sheetViews>
  <sheetFormatPr defaultRowHeight="12.75" x14ac:dyDescent="0.2"/>
  <cols>
    <col min="1" max="1" width="5" bestFit="1" customWidth="1"/>
    <col min="2" max="2" width="12.5703125" customWidth="1"/>
    <col min="3" max="14" width="9.140625" style="3"/>
  </cols>
  <sheetData>
    <row r="1" spans="1:36" x14ac:dyDescent="0.2">
      <c r="A1" s="9" t="s">
        <v>7</v>
      </c>
    </row>
    <row r="2" spans="1:36" x14ac:dyDescent="0.2"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  <c r="H2" s="3" t="s">
        <v>14</v>
      </c>
      <c r="I2" s="3" t="s">
        <v>15</v>
      </c>
      <c r="J2" s="3" t="s">
        <v>16</v>
      </c>
      <c r="K2" s="3" t="s">
        <v>17</v>
      </c>
      <c r="L2" s="3" t="s">
        <v>18</v>
      </c>
      <c r="M2" s="3" t="s">
        <v>6</v>
      </c>
      <c r="N2" s="3" t="s">
        <v>19</v>
      </c>
      <c r="O2" s="3" t="s">
        <v>34</v>
      </c>
      <c r="P2" s="3" t="s">
        <v>35</v>
      </c>
      <c r="Q2" s="3" t="s">
        <v>36</v>
      </c>
      <c r="R2" s="3" t="s">
        <v>37</v>
      </c>
      <c r="T2">
        <v>2015</v>
      </c>
      <c r="U2">
        <v>2016</v>
      </c>
      <c r="V2">
        <v>2017</v>
      </c>
      <c r="W2">
        <v>2018</v>
      </c>
      <c r="X2">
        <v>2019</v>
      </c>
      <c r="Y2">
        <v>2020</v>
      </c>
      <c r="Z2">
        <f>+Y2+1</f>
        <v>2021</v>
      </c>
      <c r="AA2">
        <f t="shared" ref="AA2:AJ2" si="0">+Z2+1</f>
        <v>2022</v>
      </c>
      <c r="AB2">
        <f t="shared" si="0"/>
        <v>2023</v>
      </c>
      <c r="AC2">
        <f t="shared" si="0"/>
        <v>2024</v>
      </c>
      <c r="AD2">
        <f t="shared" si="0"/>
        <v>2025</v>
      </c>
      <c r="AE2">
        <f t="shared" si="0"/>
        <v>2026</v>
      </c>
      <c r="AF2">
        <f t="shared" si="0"/>
        <v>2027</v>
      </c>
      <c r="AG2">
        <f t="shared" si="0"/>
        <v>2028</v>
      </c>
      <c r="AH2">
        <f t="shared" si="0"/>
        <v>2029</v>
      </c>
      <c r="AI2">
        <f t="shared" si="0"/>
        <v>2030</v>
      </c>
      <c r="AJ2">
        <f t="shared" si="0"/>
        <v>2031</v>
      </c>
    </row>
    <row r="3" spans="1:36" s="2" customFormat="1" x14ac:dyDescent="0.2">
      <c r="B3" s="2" t="s">
        <v>20</v>
      </c>
      <c r="C3" s="4"/>
      <c r="D3" s="4"/>
      <c r="E3" s="4"/>
      <c r="F3" s="4"/>
      <c r="G3" s="4">
        <v>675</v>
      </c>
      <c r="H3" s="4">
        <v>568</v>
      </c>
      <c r="I3" s="4">
        <v>423</v>
      </c>
      <c r="J3" s="4">
        <f>2311-I3-H3-G3</f>
        <v>645</v>
      </c>
      <c r="K3" s="4">
        <v>386</v>
      </c>
      <c r="L3" s="4">
        <v>304</v>
      </c>
      <c r="M3" s="4">
        <v>231</v>
      </c>
      <c r="N3" s="4">
        <f>+J3*1.01</f>
        <v>651.45000000000005</v>
      </c>
      <c r="X3" s="2">
        <v>1975</v>
      </c>
      <c r="Y3" s="2">
        <v>2350</v>
      </c>
      <c r="Z3" s="2">
        <f>SUM(G3:J3)</f>
        <v>2311</v>
      </c>
      <c r="AA3" s="2">
        <f>SUM(K3:N3)</f>
        <v>1572.45</v>
      </c>
    </row>
    <row r="4" spans="1:36" s="2" customFormat="1" x14ac:dyDescent="0.2">
      <c r="B4" s="2" t="s">
        <v>21</v>
      </c>
      <c r="C4" s="4"/>
      <c r="D4" s="4"/>
      <c r="E4" s="4"/>
      <c r="F4" s="4"/>
      <c r="G4" s="4">
        <v>1600</v>
      </c>
      <c r="H4" s="4">
        <v>1728</v>
      </c>
      <c r="I4" s="4">
        <v>1647</v>
      </c>
      <c r="J4" s="4">
        <f>6492-I4-H4-G4</f>
        <v>1517</v>
      </c>
      <c r="K4" s="4">
        <v>1382</v>
      </c>
      <c r="L4" s="4">
        <v>1340</v>
      </c>
      <c r="M4" s="4">
        <v>1551</v>
      </c>
      <c r="N4" s="4">
        <f>+J4*1.01</f>
        <v>1532.17</v>
      </c>
      <c r="X4" s="2">
        <v>4514</v>
      </c>
      <c r="Y4" s="2">
        <v>5736</v>
      </c>
      <c r="Z4" s="2">
        <f>SUM(G4:J4)</f>
        <v>6492</v>
      </c>
      <c r="AA4" s="2">
        <f>SUM(K4:N4)</f>
        <v>5805.17</v>
      </c>
    </row>
    <row r="5" spans="1:36" s="5" customFormat="1" x14ac:dyDescent="0.2">
      <c r="B5" s="5" t="s">
        <v>8</v>
      </c>
      <c r="C5" s="6"/>
      <c r="D5" s="6"/>
      <c r="E5" s="6"/>
      <c r="F5" s="6"/>
      <c r="G5" s="6">
        <f t="shared" ref="G5" si="1">+G3+G4</f>
        <v>2275</v>
      </c>
      <c r="H5" s="6">
        <f>+H3+H4</f>
        <v>2296</v>
      </c>
      <c r="I5" s="6">
        <f>+I3+I4</f>
        <v>2070</v>
      </c>
      <c r="J5" s="6">
        <f>+J3+J4</f>
        <v>2162</v>
      </c>
      <c r="K5" s="6">
        <f t="shared" ref="K5" si="2">+K3+K4</f>
        <v>1768</v>
      </c>
      <c r="L5" s="6">
        <f>+L3+L4</f>
        <v>1644</v>
      </c>
      <c r="M5" s="6">
        <f>+M3+M4</f>
        <v>1782</v>
      </c>
      <c r="N5" s="6">
        <f>+N3+N4</f>
        <v>2183.62</v>
      </c>
      <c r="X5" s="5">
        <f>+X3+X4</f>
        <v>6489</v>
      </c>
      <c r="Y5" s="5">
        <f>+Y3+Y4</f>
        <v>8086</v>
      </c>
      <c r="Z5" s="5">
        <f>+Z3+Z4</f>
        <v>8803</v>
      </c>
      <c r="AA5" s="5">
        <f>SUM(AA3:AA4)</f>
        <v>7377.62</v>
      </c>
    </row>
    <row r="6" spans="1:36" s="2" customFormat="1" x14ac:dyDescent="0.2">
      <c r="B6" s="2" t="s">
        <v>23</v>
      </c>
      <c r="C6" s="4"/>
      <c r="D6" s="4"/>
      <c r="E6" s="4"/>
      <c r="F6" s="4"/>
      <c r="G6" s="4">
        <f>140+112+296+30</f>
        <v>578</v>
      </c>
      <c r="H6" s="4">
        <f>116+88+322+29</f>
        <v>555</v>
      </c>
      <c r="I6" s="4">
        <f>120+72+307+28</f>
        <v>527</v>
      </c>
      <c r="J6" s="2">
        <f>649+346+1215+107-I6-H6-G6</f>
        <v>657</v>
      </c>
      <c r="K6" s="4">
        <f>91+81+288+19</f>
        <v>479</v>
      </c>
      <c r="L6" s="4">
        <f>80+63+317+25</f>
        <v>485</v>
      </c>
      <c r="M6" s="4">
        <f>107+9+343+43</f>
        <v>502</v>
      </c>
      <c r="N6" s="4">
        <f>+N5-N7</f>
        <v>611.41360000000009</v>
      </c>
      <c r="X6" s="2">
        <f>656+240+965+233</f>
        <v>2094</v>
      </c>
      <c r="Y6" s="2">
        <f>705+269+1131+155</f>
        <v>2260</v>
      </c>
      <c r="Z6" s="2">
        <f>SUM(G6:J6)</f>
        <v>2317</v>
      </c>
    </row>
    <row r="7" spans="1:36" s="2" customFormat="1" x14ac:dyDescent="0.2">
      <c r="B7" s="2" t="s">
        <v>22</v>
      </c>
      <c r="C7" s="4"/>
      <c r="D7" s="4"/>
      <c r="E7" s="4"/>
      <c r="F7" s="4"/>
      <c r="G7" s="4">
        <f t="shared" ref="G7" si="3">+G5-G6</f>
        <v>1697</v>
      </c>
      <c r="H7" s="4">
        <f>+H5-H6</f>
        <v>1741</v>
      </c>
      <c r="I7" s="4">
        <f>+I5-I6</f>
        <v>1543</v>
      </c>
      <c r="J7" s="4">
        <f>+J5-J6</f>
        <v>1505</v>
      </c>
      <c r="K7" s="4">
        <f t="shared" ref="K7" si="4">+K5-K6</f>
        <v>1289</v>
      </c>
      <c r="L7" s="4">
        <f>+L5-L6</f>
        <v>1159</v>
      </c>
      <c r="M7" s="4">
        <f>+M5-M6</f>
        <v>1280</v>
      </c>
      <c r="N7" s="4">
        <f>+N5*0.72</f>
        <v>1572.2063999999998</v>
      </c>
      <c r="X7" s="2">
        <f>+X5-X6</f>
        <v>4395</v>
      </c>
      <c r="Y7" s="2">
        <f>+Y5-Y6</f>
        <v>5826</v>
      </c>
      <c r="Z7" s="2">
        <f>+Z5-Z6</f>
        <v>6486</v>
      </c>
    </row>
    <row r="8" spans="1:36" s="2" customFormat="1" x14ac:dyDescent="0.2">
      <c r="B8" s="2" t="s">
        <v>25</v>
      </c>
      <c r="C8" s="4"/>
      <c r="D8" s="4"/>
      <c r="E8" s="4"/>
      <c r="F8" s="4"/>
      <c r="G8" s="4">
        <v>353</v>
      </c>
      <c r="H8" s="4">
        <v>335</v>
      </c>
      <c r="I8" s="4">
        <v>329</v>
      </c>
      <c r="J8" s="4">
        <f>1337-I8-H8-G8</f>
        <v>320</v>
      </c>
      <c r="K8" s="4">
        <v>346</v>
      </c>
      <c r="L8" s="4">
        <v>311</v>
      </c>
      <c r="M8" s="4">
        <v>277</v>
      </c>
      <c r="N8" s="4">
        <f>+J8*1.01</f>
        <v>323.2</v>
      </c>
      <c r="X8" s="2">
        <v>998</v>
      </c>
      <c r="Y8" s="2">
        <v>1150</v>
      </c>
      <c r="Z8" s="2">
        <f t="shared" ref="Z8:Z10" si="5">SUM(G8:J8)</f>
        <v>1337</v>
      </c>
    </row>
    <row r="9" spans="1:36" s="2" customFormat="1" x14ac:dyDescent="0.2">
      <c r="B9" s="2" t="s">
        <v>26</v>
      </c>
      <c r="C9" s="4"/>
      <c r="D9" s="4"/>
      <c r="E9" s="4"/>
      <c r="F9" s="4"/>
      <c r="G9" s="4">
        <v>237</v>
      </c>
      <c r="H9" s="4">
        <v>245</v>
      </c>
      <c r="I9" s="4">
        <v>244</v>
      </c>
      <c r="J9" s="4">
        <f>1025-I9-H9-G9</f>
        <v>299</v>
      </c>
      <c r="K9" s="4">
        <v>252</v>
      </c>
      <c r="L9" s="4">
        <v>263</v>
      </c>
      <c r="M9" s="4">
        <v>287</v>
      </c>
      <c r="N9" s="4">
        <f t="shared" ref="N9:N10" si="6">+J9*1.01</f>
        <v>301.99</v>
      </c>
      <c r="X9" s="2">
        <v>926</v>
      </c>
      <c r="Y9" s="2">
        <v>1064</v>
      </c>
      <c r="Z9" s="2">
        <f t="shared" si="5"/>
        <v>1025</v>
      </c>
    </row>
    <row r="10" spans="1:36" s="2" customFormat="1" x14ac:dyDescent="0.2">
      <c r="B10" s="2" t="s">
        <v>27</v>
      </c>
      <c r="C10" s="4"/>
      <c r="D10" s="4"/>
      <c r="E10" s="4"/>
      <c r="F10" s="4"/>
      <c r="G10" s="4">
        <v>282</v>
      </c>
      <c r="H10" s="4">
        <v>189</v>
      </c>
      <c r="I10" s="4">
        <v>143</v>
      </c>
      <c r="J10" s="4">
        <f>788-I10-H10-G10</f>
        <v>174</v>
      </c>
      <c r="K10" s="4">
        <v>214</v>
      </c>
      <c r="L10" s="4">
        <v>250</v>
      </c>
      <c r="M10" s="4">
        <v>229</v>
      </c>
      <c r="N10" s="4">
        <f t="shared" si="6"/>
        <v>175.74</v>
      </c>
      <c r="X10" s="2">
        <v>732</v>
      </c>
      <c r="Y10" s="2">
        <v>784</v>
      </c>
      <c r="Z10" s="2">
        <f t="shared" si="5"/>
        <v>788</v>
      </c>
    </row>
    <row r="11" spans="1:36" s="2" customFormat="1" x14ac:dyDescent="0.2">
      <c r="B11" s="2" t="s">
        <v>28</v>
      </c>
      <c r="C11" s="4"/>
      <c r="D11" s="4"/>
      <c r="E11" s="4"/>
      <c r="F11" s="4"/>
      <c r="G11" s="4">
        <f t="shared" ref="G11" si="7">SUM(G8:G10)</f>
        <v>872</v>
      </c>
      <c r="H11" s="4">
        <f>SUM(H8:H10)</f>
        <v>769</v>
      </c>
      <c r="I11" s="4">
        <f>SUM(I8:I10)</f>
        <v>716</v>
      </c>
      <c r="J11" s="4">
        <f t="shared" ref="J11:M11" si="8">SUM(J8:J10)</f>
        <v>793</v>
      </c>
      <c r="K11" s="4">
        <f t="shared" si="8"/>
        <v>812</v>
      </c>
      <c r="L11" s="4">
        <f t="shared" si="8"/>
        <v>824</v>
      </c>
      <c r="M11" s="4">
        <f t="shared" si="8"/>
        <v>793</v>
      </c>
      <c r="N11" s="4">
        <f t="shared" ref="N11" si="9">SUM(N8:N10)</f>
        <v>800.93000000000006</v>
      </c>
      <c r="X11" s="4">
        <f t="shared" ref="X11" si="10">SUM(X8:X10)</f>
        <v>2656</v>
      </c>
      <c r="Y11" s="4">
        <f t="shared" ref="Y11" si="11">SUM(Y8:Y10)</f>
        <v>2998</v>
      </c>
      <c r="Z11" s="4">
        <f t="shared" ref="Z11" si="12">SUM(Z8:Z10)</f>
        <v>3150</v>
      </c>
    </row>
    <row r="12" spans="1:36" s="2" customFormat="1" x14ac:dyDescent="0.2">
      <c r="B12" s="2" t="s">
        <v>29</v>
      </c>
      <c r="C12" s="4"/>
      <c r="D12" s="4"/>
      <c r="E12" s="4"/>
      <c r="F12" s="4"/>
      <c r="G12" s="4">
        <f t="shared" ref="G12" si="13">G7-G11</f>
        <v>825</v>
      </c>
      <c r="H12" s="4">
        <f>H7-H11</f>
        <v>972</v>
      </c>
      <c r="I12" s="4">
        <f>I7-I11</f>
        <v>827</v>
      </c>
      <c r="J12" s="4">
        <f t="shared" ref="J12:M12" si="14">J7-J11</f>
        <v>712</v>
      </c>
      <c r="K12" s="4">
        <f t="shared" si="14"/>
        <v>477</v>
      </c>
      <c r="L12" s="4">
        <f t="shared" si="14"/>
        <v>335</v>
      </c>
      <c r="M12" s="4">
        <f t="shared" si="14"/>
        <v>487</v>
      </c>
      <c r="N12" s="4">
        <f t="shared" ref="N12" si="15">N7-N11</f>
        <v>771.27639999999974</v>
      </c>
      <c r="X12" s="4">
        <f t="shared" ref="X12" si="16">X7-X11</f>
        <v>1739</v>
      </c>
      <c r="Y12" s="4">
        <f t="shared" ref="Y12" si="17">Y7-Y11</f>
        <v>2828</v>
      </c>
      <c r="Z12" s="4">
        <f t="shared" ref="Z12" si="18">Z7-Z11</f>
        <v>3336</v>
      </c>
    </row>
    <row r="13" spans="1:36" s="2" customFormat="1" x14ac:dyDescent="0.2">
      <c r="B13" s="2" t="s">
        <v>30</v>
      </c>
      <c r="C13" s="4"/>
      <c r="D13" s="4"/>
      <c r="E13" s="4"/>
      <c r="F13" s="4"/>
      <c r="G13" s="4">
        <v>-30</v>
      </c>
      <c r="H13" s="4">
        <v>-43</v>
      </c>
      <c r="I13" s="4">
        <v>-65</v>
      </c>
      <c r="J13" s="4">
        <f>-95-I13-H13-G13</f>
        <v>43</v>
      </c>
      <c r="K13" s="4">
        <v>-14</v>
      </c>
      <c r="L13" s="4">
        <v>17</v>
      </c>
      <c r="M13" s="4">
        <v>15</v>
      </c>
      <c r="N13" s="4"/>
      <c r="X13" s="2">
        <v>26</v>
      </c>
      <c r="Y13" s="2">
        <v>-87</v>
      </c>
      <c r="Z13" s="2">
        <f t="shared" ref="Z13:Z15" si="19">SUM(G13:J13)</f>
        <v>-95</v>
      </c>
    </row>
    <row r="14" spans="1:36" s="2" customFormat="1" x14ac:dyDescent="0.2">
      <c r="B14" s="2" t="s">
        <v>31</v>
      </c>
      <c r="C14" s="4"/>
      <c r="D14" s="4"/>
      <c r="E14" s="4"/>
      <c r="F14" s="4"/>
      <c r="G14" s="4">
        <f t="shared" ref="G14" si="20">+G12+G13</f>
        <v>795</v>
      </c>
      <c r="H14" s="4">
        <f>+H12+H13</f>
        <v>929</v>
      </c>
      <c r="I14" s="4">
        <f>+I12+I13</f>
        <v>762</v>
      </c>
      <c r="J14" s="4">
        <f t="shared" ref="J14:N14" si="21">+J12+J13</f>
        <v>755</v>
      </c>
      <c r="K14" s="4">
        <f t="shared" si="21"/>
        <v>463</v>
      </c>
      <c r="L14" s="4">
        <f t="shared" si="21"/>
        <v>352</v>
      </c>
      <c r="M14" s="4">
        <f t="shared" si="21"/>
        <v>502</v>
      </c>
      <c r="N14" s="4">
        <f t="shared" si="21"/>
        <v>771.27639999999974</v>
      </c>
      <c r="X14" s="4">
        <f t="shared" ref="X14:Z14" si="22">+X12+X13</f>
        <v>1765</v>
      </c>
      <c r="Y14" s="4">
        <f t="shared" si="22"/>
        <v>2741</v>
      </c>
      <c r="Z14" s="4">
        <f t="shared" si="22"/>
        <v>3241</v>
      </c>
    </row>
    <row r="15" spans="1:36" s="2" customFormat="1" x14ac:dyDescent="0.2">
      <c r="B15" s="2" t="s">
        <v>32</v>
      </c>
      <c r="C15" s="4"/>
      <c r="D15" s="4"/>
      <c r="E15" s="4"/>
      <c r="F15" s="4"/>
      <c r="G15" s="4">
        <v>146</v>
      </c>
      <c r="H15" s="4">
        <v>126</v>
      </c>
      <c r="I15" s="4">
        <v>120</v>
      </c>
      <c r="J15" s="4">
        <f>465-I15-H15-G15</f>
        <v>73</v>
      </c>
      <c r="K15" s="4">
        <v>70</v>
      </c>
      <c r="L15" s="4">
        <v>41</v>
      </c>
      <c r="M15" s="4">
        <v>65</v>
      </c>
      <c r="N15" s="4">
        <f>+N14*0.15</f>
        <v>115.69145999999995</v>
      </c>
      <c r="X15" s="2">
        <v>130</v>
      </c>
      <c r="Y15" s="2">
        <v>419</v>
      </c>
      <c r="Z15" s="2">
        <f t="shared" si="19"/>
        <v>465</v>
      </c>
    </row>
    <row r="16" spans="1:36" s="2" customFormat="1" x14ac:dyDescent="0.2">
      <c r="B16" s="2" t="s">
        <v>33</v>
      </c>
      <c r="C16" s="4"/>
      <c r="D16" s="4"/>
      <c r="E16" s="4"/>
      <c r="F16" s="4"/>
      <c r="G16" s="4">
        <f t="shared" ref="G16" si="23">+G14-G15</f>
        <v>649</v>
      </c>
      <c r="H16" s="4">
        <f>+H14-H15</f>
        <v>803</v>
      </c>
      <c r="I16" s="4">
        <f>+I14-I15</f>
        <v>642</v>
      </c>
      <c r="J16" s="4">
        <f t="shared" ref="J16:M16" si="24">+J14-J15</f>
        <v>682</v>
      </c>
      <c r="K16" s="4">
        <f t="shared" si="24"/>
        <v>393</v>
      </c>
      <c r="L16" s="4">
        <f t="shared" si="24"/>
        <v>311</v>
      </c>
      <c r="M16" s="4">
        <f t="shared" si="24"/>
        <v>437</v>
      </c>
      <c r="N16" s="4">
        <f t="shared" ref="N16" si="25">+N14-N15</f>
        <v>655.58493999999973</v>
      </c>
      <c r="X16" s="4">
        <f t="shared" ref="X16" si="26">+X14-X15</f>
        <v>1635</v>
      </c>
      <c r="Y16" s="4">
        <f t="shared" ref="Y16" si="27">+Y14-Y15</f>
        <v>2322</v>
      </c>
      <c r="Z16" s="4">
        <f t="shared" ref="Z16" si="28">+Z14-Z15</f>
        <v>2776</v>
      </c>
    </row>
    <row r="17" spans="2:27" x14ac:dyDescent="0.2">
      <c r="B17" t="s">
        <v>38</v>
      </c>
      <c r="G17" s="8">
        <f t="shared" ref="G17" si="29">+G16/G18</f>
        <v>0.82886334610472545</v>
      </c>
      <c r="H17" s="8">
        <f t="shared" ref="H17:M17" si="30">+H16/H18</f>
        <v>1.0255427841634739</v>
      </c>
      <c r="I17" s="8">
        <f t="shared" si="30"/>
        <v>0.81992337164750961</v>
      </c>
      <c r="J17" s="8">
        <f t="shared" si="30"/>
        <v>0.86989795918367352</v>
      </c>
      <c r="K17" s="8">
        <f t="shared" si="30"/>
        <v>0.5</v>
      </c>
      <c r="L17" s="8">
        <f t="shared" si="30"/>
        <v>0.39467005076142131</v>
      </c>
      <c r="M17" s="8">
        <f t="shared" si="30"/>
        <v>0.55386565272496835</v>
      </c>
      <c r="N17" s="8">
        <f t="shared" ref="N17" si="31">+N16/N18</f>
        <v>0.83090613434727467</v>
      </c>
    </row>
    <row r="18" spans="2:27" x14ac:dyDescent="0.2">
      <c r="B18" t="s">
        <v>1</v>
      </c>
      <c r="G18" s="4">
        <v>783</v>
      </c>
      <c r="H18" s="4">
        <v>783</v>
      </c>
      <c r="I18" s="4">
        <v>783</v>
      </c>
      <c r="J18" s="4">
        <v>784</v>
      </c>
      <c r="K18" s="4">
        <v>786</v>
      </c>
      <c r="L18" s="4">
        <v>788</v>
      </c>
      <c r="M18" s="4">
        <v>789</v>
      </c>
      <c r="N18" s="4">
        <f>+M18</f>
        <v>789</v>
      </c>
      <c r="X18">
        <v>771</v>
      </c>
      <c r="Y18">
        <v>778</v>
      </c>
      <c r="Z18" s="2">
        <f>AVERAGE(G18:J18)</f>
        <v>783.25</v>
      </c>
    </row>
    <row r="20" spans="2:27" x14ac:dyDescent="0.2">
      <c r="B20" t="s">
        <v>48</v>
      </c>
      <c r="K20" s="7">
        <f t="shared" ref="K20" si="32">+K5/G5-1</f>
        <v>-0.22285714285714286</v>
      </c>
      <c r="L20" s="7">
        <f>+L5/H5-1</f>
        <v>-0.28397212543554007</v>
      </c>
      <c r="M20" s="7">
        <f>+M5/I5-1</f>
        <v>-0.13913043478260867</v>
      </c>
      <c r="N20" s="7">
        <f t="shared" ref="N20" si="33">+N5/J5-1</f>
        <v>1.0000000000000009E-2</v>
      </c>
      <c r="Y20" s="10">
        <f>+Y5/X5-1</f>
        <v>0.24610879950685782</v>
      </c>
      <c r="Z20" s="10">
        <f>+Z5/Y5-1</f>
        <v>8.8671778382389377E-2</v>
      </c>
      <c r="AA20" s="10">
        <f>+AA5/Z5-1</f>
        <v>-0.16191980006815865</v>
      </c>
    </row>
    <row r="21" spans="2:27" x14ac:dyDescent="0.2">
      <c r="B21" t="s">
        <v>24</v>
      </c>
      <c r="G21" s="7">
        <f t="shared" ref="G21" si="34">G7/G5</f>
        <v>0.74593406593406597</v>
      </c>
      <c r="H21" s="7">
        <f t="shared" ref="H21:M21" si="35">H7/H5</f>
        <v>0.75827526132404177</v>
      </c>
      <c r="I21" s="7">
        <f t="shared" si="35"/>
        <v>0.74541062801932367</v>
      </c>
      <c r="J21" s="7">
        <f t="shared" si="35"/>
        <v>0.69611470860314528</v>
      </c>
      <c r="K21" s="7">
        <f t="shared" si="35"/>
        <v>0.72907239819004521</v>
      </c>
      <c r="L21" s="7">
        <f t="shared" si="35"/>
        <v>0.70498783454987834</v>
      </c>
      <c r="M21" s="7">
        <f t="shared" si="35"/>
        <v>0.71829405162738491</v>
      </c>
      <c r="N21" s="7">
        <f t="shared" ref="N21" si="36">N7/N5</f>
        <v>0.72</v>
      </c>
      <c r="X21" s="7">
        <f>X7/X5</f>
        <v>0.67730004623208506</v>
      </c>
      <c r="Y21" s="7">
        <f>Y7/Y5</f>
        <v>0.72050457581004201</v>
      </c>
      <c r="Z21" s="7">
        <f>Z7/Z5</f>
        <v>0.73679427467908665</v>
      </c>
    </row>
    <row r="24" spans="2:27" s="2" customFormat="1" x14ac:dyDescent="0.2">
      <c r="B24" s="2" t="s">
        <v>39</v>
      </c>
      <c r="C24" s="4"/>
      <c r="D24" s="4"/>
      <c r="E24" s="4"/>
      <c r="F24" s="4"/>
      <c r="G24" s="4">
        <f>+G16</f>
        <v>649</v>
      </c>
      <c r="H24" s="4">
        <f>+H16</f>
        <v>803</v>
      </c>
      <c r="I24" s="4">
        <f>+I16</f>
        <v>642</v>
      </c>
      <c r="J24" s="4"/>
      <c r="K24" s="4">
        <f>+K16</f>
        <v>393</v>
      </c>
      <c r="L24" s="4">
        <f>+L16</f>
        <v>311</v>
      </c>
      <c r="M24" s="4">
        <f>+M16</f>
        <v>437</v>
      </c>
      <c r="N24" s="4"/>
    </row>
    <row r="25" spans="2:27" s="2" customFormat="1" x14ac:dyDescent="0.2">
      <c r="B25" s="2" t="s">
        <v>40</v>
      </c>
      <c r="C25" s="4"/>
      <c r="D25" s="4"/>
      <c r="E25" s="4"/>
      <c r="F25" s="4"/>
      <c r="G25" s="4">
        <v>619</v>
      </c>
      <c r="H25" s="4">
        <f>1496-G25</f>
        <v>877</v>
      </c>
      <c r="I25" s="4">
        <f>2135-H25-G25</f>
        <v>639</v>
      </c>
      <c r="J25" s="4"/>
      <c r="K25" s="4">
        <v>395</v>
      </c>
      <c r="L25" s="4">
        <f>675-K25</f>
        <v>280</v>
      </c>
      <c r="M25" s="4">
        <f>1110-L25-K25</f>
        <v>435</v>
      </c>
      <c r="N25" s="4"/>
    </row>
    <row r="26" spans="2:27" s="2" customFormat="1" x14ac:dyDescent="0.2">
      <c r="B26" s="2" t="s">
        <v>41</v>
      </c>
      <c r="C26" s="4"/>
      <c r="D26" s="4"/>
      <c r="E26" s="4"/>
      <c r="F26" s="4"/>
      <c r="G26" s="4">
        <v>844</v>
      </c>
      <c r="H26" s="4">
        <f>1232-G26</f>
        <v>388</v>
      </c>
      <c r="I26" s="4">
        <f>1753-H26-G26</f>
        <v>521</v>
      </c>
      <c r="J26" s="4"/>
      <c r="K26" s="4">
        <v>642</v>
      </c>
      <c r="L26" s="4">
        <f>840-K26</f>
        <v>198</v>
      </c>
      <c r="M26" s="4">
        <f>1097-L26-K26</f>
        <v>257</v>
      </c>
      <c r="N26" s="4"/>
    </row>
    <row r="27" spans="2:27" s="2" customFormat="1" x14ac:dyDescent="0.2">
      <c r="B27" s="2" t="s">
        <v>42</v>
      </c>
      <c r="C27" s="4"/>
      <c r="D27" s="4"/>
      <c r="E27" s="4"/>
      <c r="F27" s="4"/>
      <c r="G27" s="4">
        <v>22</v>
      </c>
      <c r="H27" s="4">
        <f>36-G27</f>
        <v>14</v>
      </c>
      <c r="I27" s="4">
        <f>59-H27-G27</f>
        <v>23</v>
      </c>
      <c r="J27" s="4"/>
      <c r="K27" s="4">
        <v>15</v>
      </c>
      <c r="L27" s="4">
        <f>52-K27</f>
        <v>37</v>
      </c>
      <c r="M27" s="4">
        <f>67-L27-K27</f>
        <v>15</v>
      </c>
      <c r="N27" s="4"/>
    </row>
    <row r="28" spans="2:27" x14ac:dyDescent="0.2">
      <c r="B28" s="2" t="s">
        <v>43</v>
      </c>
      <c r="G28" s="4">
        <f>+G26-G27</f>
        <v>822</v>
      </c>
      <c r="H28" s="4">
        <f>+H26-H27</f>
        <v>374</v>
      </c>
      <c r="I28" s="4">
        <f>+I26-I27</f>
        <v>498</v>
      </c>
      <c r="K28" s="4">
        <f>+K26-K27</f>
        <v>627</v>
      </c>
      <c r="L28" s="4">
        <f>+L26-L27</f>
        <v>161</v>
      </c>
      <c r="M28" s="4">
        <f>+M26-M27</f>
        <v>242</v>
      </c>
    </row>
  </sheetData>
  <hyperlinks>
    <hyperlink ref="A1" location="Main!A1" display="Main" xr:uid="{72DEABD3-904A-4C2C-AEF1-5CD17267F5CE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Nichols Ringholm</dc:creator>
  <cp:lastModifiedBy>Sam Nichols Ringholm</cp:lastModifiedBy>
  <dcterms:created xsi:type="dcterms:W3CDTF">2023-01-18T15:46:37Z</dcterms:created>
  <dcterms:modified xsi:type="dcterms:W3CDTF">2025-10-07T23:22:12Z</dcterms:modified>
</cp:coreProperties>
</file>