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EE82E84-5BED-4024-A35E-A552E5834E05}" xr6:coauthVersionLast="47" xr6:coauthVersionMax="47" xr10:uidLastSave="{00000000-0000-0000-0000-000000000000}"/>
  <bookViews>
    <workbookView xWindow="4245" yWindow="4245" windowWidth="18075" windowHeight="16020" xr2:uid="{A8769FE9-8936-45FE-8C8F-FF0088B6B29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2" l="1"/>
  <c r="P32" i="2" s="1"/>
  <c r="Q32" i="2" s="1"/>
  <c r="O31" i="2"/>
  <c r="P31" i="2" s="1"/>
  <c r="P28" i="2"/>
  <c r="Q28" i="2" s="1"/>
  <c r="O40" i="2"/>
  <c r="N40" i="2"/>
  <c r="N35" i="2"/>
  <c r="Q2" i="2"/>
  <c r="R2" i="2" s="1"/>
  <c r="P2" i="2"/>
  <c r="R35" i="2"/>
  <c r="Q35" i="2"/>
  <c r="P35" i="2"/>
  <c r="O35" i="2"/>
  <c r="O33" i="2"/>
  <c r="N33" i="2"/>
  <c r="O30" i="2"/>
  <c r="O41" i="2" s="1"/>
  <c r="N30" i="2"/>
  <c r="N41" i="2" s="1"/>
  <c r="J6" i="1"/>
  <c r="J5" i="1"/>
  <c r="C64" i="2"/>
  <c r="D64" i="2"/>
  <c r="E64" i="2"/>
  <c r="C41" i="2"/>
  <c r="D41" i="2"/>
  <c r="D35" i="2"/>
  <c r="C35" i="2"/>
  <c r="C30" i="2"/>
  <c r="D30" i="2"/>
  <c r="E35" i="2"/>
  <c r="C33" i="2"/>
  <c r="C34" i="2" s="1"/>
  <c r="D33" i="2"/>
  <c r="E33" i="2"/>
  <c r="E30" i="2"/>
  <c r="E41" i="2" s="1"/>
  <c r="E19" i="2"/>
  <c r="D19" i="2"/>
  <c r="C19" i="2"/>
  <c r="E18" i="2"/>
  <c r="C18" i="2"/>
  <c r="C13" i="2"/>
  <c r="D13" i="2"/>
  <c r="E13" i="2"/>
  <c r="D40" i="2"/>
  <c r="E40" i="2"/>
  <c r="E26" i="2"/>
  <c r="D26" i="2"/>
  <c r="C26" i="2"/>
  <c r="K64" i="2"/>
  <c r="J64" i="2"/>
  <c r="I64" i="2"/>
  <c r="H64" i="2"/>
  <c r="G64" i="2"/>
  <c r="F64" i="2"/>
  <c r="F35" i="2"/>
  <c r="G35" i="2"/>
  <c r="H35" i="2"/>
  <c r="F33" i="2"/>
  <c r="G33" i="2"/>
  <c r="H33" i="2"/>
  <c r="G19" i="2"/>
  <c r="F19" i="2"/>
  <c r="H18" i="2"/>
  <c r="G18" i="2"/>
  <c r="F18" i="2"/>
  <c r="H13" i="2"/>
  <c r="G13" i="2"/>
  <c r="F13" i="2"/>
  <c r="H28" i="2"/>
  <c r="H30" i="2" s="1"/>
  <c r="H41" i="2" s="1"/>
  <c r="G28" i="2"/>
  <c r="G30" i="2" s="1"/>
  <c r="G41" i="2" s="1"/>
  <c r="F28" i="2"/>
  <c r="F30" i="2" s="1"/>
  <c r="F41" i="2" s="1"/>
  <c r="J35" i="2"/>
  <c r="I35" i="2"/>
  <c r="K19" i="2"/>
  <c r="J19" i="2"/>
  <c r="I19" i="2"/>
  <c r="J18" i="2"/>
  <c r="I18" i="2"/>
  <c r="I13" i="2"/>
  <c r="J13" i="2"/>
  <c r="M40" i="2"/>
  <c r="L40" i="2"/>
  <c r="J28" i="2"/>
  <c r="J30" i="2" s="1"/>
  <c r="J41" i="2" s="1"/>
  <c r="I28" i="2"/>
  <c r="I30" i="2" s="1"/>
  <c r="I41" i="2" s="1"/>
  <c r="J33" i="2"/>
  <c r="I33" i="2"/>
  <c r="M64" i="2"/>
  <c r="L64" i="2"/>
  <c r="M58" i="2"/>
  <c r="M57" i="2"/>
  <c r="M56" i="2"/>
  <c r="M44" i="2"/>
  <c r="M50" i="2"/>
  <c r="M49" i="2"/>
  <c r="M45" i="2"/>
  <c r="M35" i="2"/>
  <c r="L35" i="2"/>
  <c r="K35" i="2"/>
  <c r="M33" i="2"/>
  <c r="L33" i="2"/>
  <c r="K33" i="2"/>
  <c r="K30" i="2"/>
  <c r="K41" i="2" s="1"/>
  <c r="L30" i="2"/>
  <c r="L41" i="2" s="1"/>
  <c r="M30" i="2"/>
  <c r="M41" i="2" s="1"/>
  <c r="M19" i="2"/>
  <c r="L19" i="2"/>
  <c r="M18" i="2"/>
  <c r="L18" i="2"/>
  <c r="K18" i="2"/>
  <c r="M13" i="2"/>
  <c r="L13" i="2"/>
  <c r="K13" i="2"/>
  <c r="J4" i="1"/>
  <c r="R28" i="2" l="1"/>
  <c r="Q29" i="2"/>
  <c r="Q30" i="2" s="1"/>
  <c r="Q40" i="2"/>
  <c r="Q31" i="2"/>
  <c r="R31" i="2" s="1"/>
  <c r="P33" i="2"/>
  <c r="E34" i="2"/>
  <c r="P40" i="2"/>
  <c r="E36" i="2"/>
  <c r="E38" i="2" s="1"/>
  <c r="P29" i="2"/>
  <c r="P30" i="2" s="1"/>
  <c r="P41" i="2" s="1"/>
  <c r="R32" i="2"/>
  <c r="R33" i="2" s="1"/>
  <c r="Q33" i="2"/>
  <c r="O34" i="2"/>
  <c r="O36" i="2" s="1"/>
  <c r="O38" i="2" s="1"/>
  <c r="N34" i="2"/>
  <c r="N36" i="2" s="1"/>
  <c r="N38" i="2" s="1"/>
  <c r="J7" i="1"/>
  <c r="C36" i="2"/>
  <c r="C38" i="2" s="1"/>
  <c r="D34" i="2"/>
  <c r="D36" i="2" s="1"/>
  <c r="D38" i="2" s="1"/>
  <c r="F40" i="2"/>
  <c r="H40" i="2"/>
  <c r="I40" i="2"/>
  <c r="G40" i="2"/>
  <c r="H34" i="2"/>
  <c r="H36" i="2" s="1"/>
  <c r="H38" i="2" s="1"/>
  <c r="F34" i="2"/>
  <c r="F36" i="2" s="1"/>
  <c r="F38" i="2" s="1"/>
  <c r="G34" i="2"/>
  <c r="G36" i="2" s="1"/>
  <c r="G38" i="2" s="1"/>
  <c r="J40" i="2"/>
  <c r="K40" i="2"/>
  <c r="I34" i="2"/>
  <c r="I36" i="2" s="1"/>
  <c r="I38" i="2" s="1"/>
  <c r="J34" i="2"/>
  <c r="J36" i="2" s="1"/>
  <c r="J38" i="2" s="1"/>
  <c r="M60" i="2"/>
  <c r="M51" i="2"/>
  <c r="K34" i="2"/>
  <c r="K36" i="2" s="1"/>
  <c r="K38" i="2" s="1"/>
  <c r="L34" i="2"/>
  <c r="L36" i="2" s="1"/>
  <c r="L38" i="2" s="1"/>
  <c r="M34" i="2"/>
  <c r="M36" i="2" s="1"/>
  <c r="M38" i="2" s="1"/>
  <c r="Q41" i="2" l="1"/>
  <c r="Q34" i="2"/>
  <c r="Q36" i="2" s="1"/>
  <c r="Q38" i="2" s="1"/>
  <c r="P34" i="2"/>
  <c r="P36" i="2" s="1"/>
  <c r="P38" i="2" s="1"/>
  <c r="R40" i="2"/>
  <c r="R29" i="2"/>
  <c r="R30" i="2"/>
  <c r="R41" i="2" l="1"/>
  <c r="R34" i="2"/>
  <c r="R36" i="2" s="1"/>
  <c r="R38" i="2" s="1"/>
</calcChain>
</file>

<file path=xl/sharedStrings.xml><?xml version="1.0" encoding="utf-8"?>
<sst xmlns="http://schemas.openxmlformats.org/spreadsheetml/2006/main" count="100" uniqueCount="95">
  <si>
    <t>Price</t>
  </si>
  <si>
    <t>Shares</t>
  </si>
  <si>
    <t>MC</t>
  </si>
  <si>
    <t>Cash</t>
  </si>
  <si>
    <t>Debt</t>
  </si>
  <si>
    <t>EV</t>
  </si>
  <si>
    <t>Commercial Airplanes</t>
  </si>
  <si>
    <t>Defense, Space &amp; Security</t>
  </si>
  <si>
    <t>Global Services</t>
  </si>
  <si>
    <t>737 narrow-body</t>
  </si>
  <si>
    <t>767 wide-body</t>
  </si>
  <si>
    <t>777 wide-body</t>
  </si>
  <si>
    <t>787 wide-body</t>
  </si>
  <si>
    <t>737-7 in development</t>
  </si>
  <si>
    <t>737-10 in development</t>
  </si>
  <si>
    <t>777X in development</t>
  </si>
  <si>
    <t>weapons systems</t>
  </si>
  <si>
    <t>aircraft, manned and unmanned</t>
  </si>
  <si>
    <t>satellites</t>
  </si>
  <si>
    <t>Main</t>
  </si>
  <si>
    <t>Competitors: Airbus, China</t>
  </si>
  <si>
    <t>Competitors: LMT, NOC, RTN, GD, SpaceX</t>
  </si>
  <si>
    <t>737-9 audit</t>
  </si>
  <si>
    <t>737 MAX</t>
  </si>
  <si>
    <t>Founded: 1916</t>
  </si>
  <si>
    <t>37% US government contracts</t>
  </si>
  <si>
    <t>42% non-US customers</t>
  </si>
  <si>
    <t>KC-46A Tanker</t>
  </si>
  <si>
    <t>MQ-25</t>
  </si>
  <si>
    <t>T-7A Red Hawk</t>
  </si>
  <si>
    <t>VC-25B Presidential Aircraft - military 747</t>
  </si>
  <si>
    <t>42,595 new airplanes needed globally in the next 20 years - 2023 10-K</t>
  </si>
  <si>
    <t>Revenue</t>
  </si>
  <si>
    <t>Airplanes</t>
  </si>
  <si>
    <t>Defense</t>
  </si>
  <si>
    <t>Services</t>
  </si>
  <si>
    <t>737 Deliveries</t>
  </si>
  <si>
    <t>747 Deliveries</t>
  </si>
  <si>
    <t>767 Deliveries</t>
  </si>
  <si>
    <t>777 Deliveries</t>
  </si>
  <si>
    <t>787 Deliveries</t>
  </si>
  <si>
    <t>Total Deliveries</t>
  </si>
  <si>
    <t>F/A-18</t>
  </si>
  <si>
    <t>1967: McDonnell merges with Douglas</t>
  </si>
  <si>
    <t>1997: McDonnell Douglas merges with Boeing</t>
  </si>
  <si>
    <t>supersonic</t>
  </si>
  <si>
    <t>F/A-18 Hornet, -18C/D, -18A/B, -18E/F Super Hornet (E is single-seat, F is dual-seat)</t>
  </si>
  <si>
    <t>F-15</t>
  </si>
  <si>
    <t>CH-47 Chinook</t>
  </si>
  <si>
    <t>T-7A Red Hawk - trainer plane</t>
  </si>
  <si>
    <t>CH-47 Chinook - transport helicopter</t>
  </si>
  <si>
    <t>AH-64 Apache</t>
  </si>
  <si>
    <t>AH-64 Apache - attack helicopter, $52m</t>
  </si>
  <si>
    <t>MH-139 Grey Wolf</t>
  </si>
  <si>
    <t>MH-139 Grey Wolf - helicopter</t>
  </si>
  <si>
    <t>KC-46</t>
  </si>
  <si>
    <t>P-8</t>
  </si>
  <si>
    <t>P-8 - Poseidon aircraft, patrol &amp; reconnaisance</t>
  </si>
  <si>
    <t>Commercial Satellites</t>
  </si>
  <si>
    <t>Military Satellites</t>
  </si>
  <si>
    <t>COGS</t>
  </si>
  <si>
    <t>Gross Profit</t>
  </si>
  <si>
    <t>G&amp;A</t>
  </si>
  <si>
    <t>R&amp;D</t>
  </si>
  <si>
    <t>Operating Expenses</t>
  </si>
  <si>
    <t>Operating Income</t>
  </si>
  <si>
    <t>737 Cum. Firm Orders</t>
  </si>
  <si>
    <t>Other Income</t>
  </si>
  <si>
    <t>Pretax Income</t>
  </si>
  <si>
    <t>Taxes</t>
  </si>
  <si>
    <t>Net Income</t>
  </si>
  <si>
    <t>AR</t>
  </si>
  <si>
    <t>Inventories</t>
  </si>
  <si>
    <t>OCA</t>
  </si>
  <si>
    <t>PP&amp;E</t>
  </si>
  <si>
    <t>Goodwill</t>
  </si>
  <si>
    <t>Other</t>
  </si>
  <si>
    <t>Assets</t>
  </si>
  <si>
    <t>AP</t>
  </si>
  <si>
    <t>AL</t>
  </si>
  <si>
    <t>Advances</t>
  </si>
  <si>
    <t>Pension</t>
  </si>
  <si>
    <t>OLTL</t>
  </si>
  <si>
    <t>S/E</t>
  </si>
  <si>
    <t>L+S/E</t>
  </si>
  <si>
    <t>CFFO</t>
  </si>
  <si>
    <t>CapEx</t>
  </si>
  <si>
    <t>FCF</t>
  </si>
  <si>
    <t>Airplane Backlog</t>
  </si>
  <si>
    <t>Defense Backlog</t>
  </si>
  <si>
    <t>Services Backlog</t>
  </si>
  <si>
    <t>Gross Margin</t>
  </si>
  <si>
    <t>Q125</t>
  </si>
  <si>
    <t>Revenue y/y</t>
  </si>
  <si>
    <t>Employess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</si>
</sst>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1"/>
    <xf numFmtId="0" fontId="0" fillId="0" borderId="0" xfId="0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EC0CBE4-FEB1-4E56-B6D3-4FF2A30425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C346-F442-4880-B242-81D4576BECC4}">
  <dimension ref="B2:K34"/>
  <sheetViews>
    <sheetView tabSelected="1" zoomScale="115" zoomScaleNormal="115" workbookViewId="0">
      <selection activeCell="J35" sqref="J35"/>
    </sheetView>
  </sheetViews>
  <sheetFormatPr defaultRowHeight="12.75" x14ac:dyDescent="0.2"/>
  <sheetData>
    <row r="2" spans="2:11" x14ac:dyDescent="0.2">
      <c r="B2" s="3" t="s">
        <v>6</v>
      </c>
      <c r="I2" t="s">
        <v>0</v>
      </c>
      <c r="J2" s="1">
        <v>196</v>
      </c>
    </row>
    <row r="3" spans="2:11" x14ac:dyDescent="0.2">
      <c r="C3" t="s">
        <v>9</v>
      </c>
      <c r="I3" t="s">
        <v>1</v>
      </c>
      <c r="J3" s="2">
        <v>754</v>
      </c>
      <c r="K3" s="6" t="s">
        <v>92</v>
      </c>
    </row>
    <row r="4" spans="2:11" x14ac:dyDescent="0.2">
      <c r="C4" t="s">
        <v>22</v>
      </c>
      <c r="I4" t="s">
        <v>2</v>
      </c>
      <c r="J4" s="2">
        <f>+J2*J3</f>
        <v>147784</v>
      </c>
    </row>
    <row r="5" spans="2:11" x14ac:dyDescent="0.2">
      <c r="C5" t="s">
        <v>23</v>
      </c>
      <c r="I5" t="s">
        <v>3</v>
      </c>
      <c r="J5" s="2">
        <f>10142+13532</f>
        <v>23674</v>
      </c>
      <c r="K5" s="6" t="s">
        <v>92</v>
      </c>
    </row>
    <row r="6" spans="2:11" x14ac:dyDescent="0.2">
      <c r="C6" t="s">
        <v>10</v>
      </c>
      <c r="I6" t="s">
        <v>4</v>
      </c>
      <c r="J6" s="2">
        <f>45688+7930</f>
        <v>53618</v>
      </c>
      <c r="K6" s="6" t="s">
        <v>92</v>
      </c>
    </row>
    <row r="7" spans="2:11" x14ac:dyDescent="0.2">
      <c r="C7" t="s">
        <v>11</v>
      </c>
      <c r="I7" s="3" t="s">
        <v>5</v>
      </c>
      <c r="J7" s="4">
        <f>+J4-J5+J6</f>
        <v>177728</v>
      </c>
    </row>
    <row r="8" spans="2:11" x14ac:dyDescent="0.2">
      <c r="C8" t="s">
        <v>12</v>
      </c>
    </row>
    <row r="9" spans="2:11" x14ac:dyDescent="0.2">
      <c r="C9" t="s">
        <v>15</v>
      </c>
      <c r="I9" t="s">
        <v>24</v>
      </c>
    </row>
    <row r="10" spans="2:11" x14ac:dyDescent="0.2">
      <c r="C10" t="s">
        <v>13</v>
      </c>
      <c r="I10" t="s">
        <v>43</v>
      </c>
    </row>
    <row r="11" spans="2:11" x14ac:dyDescent="0.2">
      <c r="C11" t="s">
        <v>14</v>
      </c>
      <c r="I11" t="s">
        <v>44</v>
      </c>
    </row>
    <row r="12" spans="2:11" x14ac:dyDescent="0.2">
      <c r="C12" t="s">
        <v>20</v>
      </c>
    </row>
    <row r="13" spans="2:11" x14ac:dyDescent="0.2">
      <c r="B13" s="3" t="s">
        <v>7</v>
      </c>
    </row>
    <row r="14" spans="2:11" x14ac:dyDescent="0.2">
      <c r="C14" t="s">
        <v>46</v>
      </c>
    </row>
    <row r="15" spans="2:11" x14ac:dyDescent="0.2">
      <c r="D15" t="s">
        <v>45</v>
      </c>
    </row>
    <row r="16" spans="2:11" x14ac:dyDescent="0.2">
      <c r="C16" t="s">
        <v>47</v>
      </c>
    </row>
    <row r="17" spans="2:3" x14ac:dyDescent="0.2">
      <c r="C17" t="s">
        <v>50</v>
      </c>
    </row>
    <row r="18" spans="2:3" x14ac:dyDescent="0.2">
      <c r="C18" t="s">
        <v>27</v>
      </c>
    </row>
    <row r="19" spans="2:3" x14ac:dyDescent="0.2">
      <c r="C19" t="s">
        <v>28</v>
      </c>
    </row>
    <row r="20" spans="2:3" x14ac:dyDescent="0.2">
      <c r="C20" t="s">
        <v>49</v>
      </c>
    </row>
    <row r="21" spans="2:3" x14ac:dyDescent="0.2">
      <c r="C21" t="s">
        <v>52</v>
      </c>
    </row>
    <row r="22" spans="2:3" x14ac:dyDescent="0.2">
      <c r="C22" t="s">
        <v>54</v>
      </c>
    </row>
    <row r="23" spans="2:3" x14ac:dyDescent="0.2">
      <c r="C23" t="s">
        <v>57</v>
      </c>
    </row>
    <row r="24" spans="2:3" x14ac:dyDescent="0.2">
      <c r="C24" t="s">
        <v>30</v>
      </c>
    </row>
    <row r="25" spans="2:3" x14ac:dyDescent="0.2">
      <c r="C25" t="s">
        <v>17</v>
      </c>
    </row>
    <row r="26" spans="2:3" x14ac:dyDescent="0.2">
      <c r="C26" t="s">
        <v>16</v>
      </c>
    </row>
    <row r="27" spans="2:3" x14ac:dyDescent="0.2">
      <c r="C27" t="s">
        <v>18</v>
      </c>
    </row>
    <row r="28" spans="2:3" x14ac:dyDescent="0.2">
      <c r="C28" t="s">
        <v>21</v>
      </c>
    </row>
    <row r="29" spans="2:3" x14ac:dyDescent="0.2">
      <c r="B29" s="3" t="s">
        <v>8</v>
      </c>
    </row>
    <row r="32" spans="2:3" x14ac:dyDescent="0.2">
      <c r="B32" t="s">
        <v>31</v>
      </c>
    </row>
    <row r="33" spans="2:2" x14ac:dyDescent="0.2">
      <c r="B33" t="s">
        <v>25</v>
      </c>
    </row>
    <row r="34" spans="2:2" x14ac:dyDescent="0.2">
      <c r="B3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E248-2A35-4A91-96EB-FA61F6AC61D7}">
  <dimension ref="A1:R6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7" sqref="B67"/>
    </sheetView>
  </sheetViews>
  <sheetFormatPr defaultRowHeight="12.75" x14ac:dyDescent="0.2"/>
  <cols>
    <col min="1" max="1" width="5" bestFit="1" customWidth="1"/>
    <col min="2" max="2" width="21" customWidth="1"/>
    <col min="3" max="13" width="9.85546875" bestFit="1" customWidth="1"/>
  </cols>
  <sheetData>
    <row r="1" spans="1:18" x14ac:dyDescent="0.2">
      <c r="A1" s="5" t="s">
        <v>19</v>
      </c>
    </row>
    <row r="2" spans="1:18" x14ac:dyDescent="0.2"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>
        <v>2022</v>
      </c>
      <c r="M2">
        <v>2023</v>
      </c>
      <c r="N2">
        <v>2024</v>
      </c>
      <c r="O2">
        <v>2025</v>
      </c>
      <c r="P2">
        <f>+O2+1</f>
        <v>2026</v>
      </c>
      <c r="Q2">
        <f>+P2+1</f>
        <v>2027</v>
      </c>
      <c r="R2">
        <f>+Q2+1</f>
        <v>2028</v>
      </c>
    </row>
    <row r="3" spans="1:18" x14ac:dyDescent="0.2">
      <c r="B3" t="s">
        <v>88</v>
      </c>
      <c r="G3" s="2">
        <v>410986</v>
      </c>
      <c r="H3" s="2">
        <v>412307</v>
      </c>
      <c r="I3" s="2"/>
      <c r="J3" s="2">
        <v>281588</v>
      </c>
      <c r="K3" s="2">
        <v>296882</v>
      </c>
      <c r="L3" s="2">
        <v>329824</v>
      </c>
      <c r="M3" s="2">
        <v>440507</v>
      </c>
    </row>
    <row r="4" spans="1:18" x14ac:dyDescent="0.2">
      <c r="B4" t="s">
        <v>89</v>
      </c>
      <c r="G4" s="2">
        <v>44049</v>
      </c>
      <c r="H4" s="2">
        <v>57166</v>
      </c>
      <c r="I4" s="2"/>
      <c r="J4" s="2">
        <v>60847</v>
      </c>
      <c r="K4" s="2">
        <v>59828</v>
      </c>
      <c r="L4" s="2">
        <v>54373</v>
      </c>
      <c r="M4" s="2">
        <v>59012</v>
      </c>
    </row>
    <row r="5" spans="1:18" x14ac:dyDescent="0.2">
      <c r="B5" t="s">
        <v>90</v>
      </c>
      <c r="G5" s="2">
        <v>19605</v>
      </c>
      <c r="H5" s="2">
        <v>21008</v>
      </c>
      <c r="J5" s="2">
        <v>20632</v>
      </c>
      <c r="K5" s="2">
        <v>20496</v>
      </c>
      <c r="L5" s="2">
        <v>19338</v>
      </c>
      <c r="M5" s="2">
        <v>19869</v>
      </c>
    </row>
    <row r="6" spans="1:18" x14ac:dyDescent="0.2">
      <c r="L6" s="2"/>
      <c r="M6" s="2"/>
    </row>
    <row r="7" spans="1:18" x14ac:dyDescent="0.2">
      <c r="B7" t="s">
        <v>66</v>
      </c>
      <c r="C7" s="2">
        <v>8413</v>
      </c>
      <c r="D7" s="2">
        <v>9517</v>
      </c>
      <c r="E7" s="2">
        <v>10105</v>
      </c>
      <c r="F7" s="2">
        <v>10655</v>
      </c>
      <c r="G7" s="2">
        <v>11345</v>
      </c>
      <c r="H7" s="2">
        <v>12020</v>
      </c>
      <c r="I7" s="2">
        <v>11837</v>
      </c>
      <c r="J7" s="2">
        <v>10764</v>
      </c>
      <c r="K7" s="2">
        <v>11159</v>
      </c>
      <c r="L7" s="2">
        <v>11785</v>
      </c>
      <c r="M7" s="2">
        <v>12860</v>
      </c>
    </row>
    <row r="8" spans="1:18" x14ac:dyDescent="0.2">
      <c r="B8" t="s">
        <v>36</v>
      </c>
      <c r="C8" s="2">
        <v>440</v>
      </c>
      <c r="D8" s="2">
        <v>485</v>
      </c>
      <c r="E8" s="2">
        <v>495</v>
      </c>
      <c r="F8" s="2">
        <v>490</v>
      </c>
      <c r="G8" s="2">
        <v>529</v>
      </c>
      <c r="H8" s="2">
        <v>580</v>
      </c>
      <c r="I8" s="2">
        <v>127</v>
      </c>
      <c r="J8" s="2">
        <v>43</v>
      </c>
      <c r="K8" s="2">
        <v>263</v>
      </c>
      <c r="L8" s="2">
        <v>387</v>
      </c>
      <c r="M8" s="2">
        <v>396</v>
      </c>
    </row>
    <row r="9" spans="1:18" x14ac:dyDescent="0.2">
      <c r="B9" t="s">
        <v>37</v>
      </c>
      <c r="C9" s="2">
        <v>24</v>
      </c>
      <c r="D9" s="2">
        <v>19</v>
      </c>
      <c r="E9" s="2">
        <v>18</v>
      </c>
      <c r="F9" s="2">
        <v>9</v>
      </c>
      <c r="G9" s="2">
        <v>14</v>
      </c>
      <c r="H9" s="2">
        <v>6</v>
      </c>
      <c r="I9" s="2">
        <v>7</v>
      </c>
      <c r="J9" s="2">
        <v>5</v>
      </c>
      <c r="K9" s="2">
        <v>7</v>
      </c>
      <c r="L9" s="2">
        <v>5</v>
      </c>
      <c r="M9" s="2">
        <v>1</v>
      </c>
    </row>
    <row r="10" spans="1:18" x14ac:dyDescent="0.2">
      <c r="B10" t="s">
        <v>38</v>
      </c>
      <c r="C10" s="2">
        <v>21</v>
      </c>
      <c r="D10" s="2">
        <v>6</v>
      </c>
      <c r="E10" s="2">
        <v>16</v>
      </c>
      <c r="F10" s="2">
        <v>13</v>
      </c>
      <c r="G10" s="2">
        <v>10</v>
      </c>
      <c r="H10" s="2">
        <v>27</v>
      </c>
      <c r="I10" s="2">
        <v>43</v>
      </c>
      <c r="J10" s="2">
        <v>30</v>
      </c>
      <c r="K10" s="2">
        <v>32</v>
      </c>
      <c r="L10" s="2">
        <v>33</v>
      </c>
      <c r="M10" s="2">
        <v>32</v>
      </c>
    </row>
    <row r="11" spans="1:18" x14ac:dyDescent="0.2">
      <c r="B11" t="s">
        <v>39</v>
      </c>
      <c r="C11" s="2">
        <v>98</v>
      </c>
      <c r="D11" s="2">
        <v>99</v>
      </c>
      <c r="E11" s="2">
        <v>98</v>
      </c>
      <c r="F11" s="2">
        <v>99</v>
      </c>
      <c r="G11" s="2">
        <v>74</v>
      </c>
      <c r="H11" s="2">
        <v>48</v>
      </c>
      <c r="I11" s="2">
        <v>45</v>
      </c>
      <c r="J11" s="2">
        <v>26</v>
      </c>
      <c r="K11" s="2">
        <v>24</v>
      </c>
      <c r="L11" s="2">
        <v>24</v>
      </c>
      <c r="M11" s="2">
        <v>26</v>
      </c>
    </row>
    <row r="12" spans="1:18" x14ac:dyDescent="0.2">
      <c r="B12" t="s">
        <v>40</v>
      </c>
      <c r="C12" s="2">
        <v>65</v>
      </c>
      <c r="D12" s="2">
        <v>114</v>
      </c>
      <c r="E12" s="2">
        <v>135</v>
      </c>
      <c r="F12" s="2">
        <v>137</v>
      </c>
      <c r="G12" s="2">
        <v>136</v>
      </c>
      <c r="H12" s="2">
        <v>145</v>
      </c>
      <c r="I12" s="2">
        <v>158</v>
      </c>
      <c r="J12" s="2">
        <v>53</v>
      </c>
      <c r="K12" s="2">
        <v>14</v>
      </c>
      <c r="L12" s="2">
        <v>31</v>
      </c>
      <c r="M12" s="2">
        <v>73</v>
      </c>
    </row>
    <row r="13" spans="1:18" x14ac:dyDescent="0.2">
      <c r="B13" t="s">
        <v>41</v>
      </c>
      <c r="C13" s="4">
        <f t="shared" ref="C13:H13" si="0">SUM(C8:C12)</f>
        <v>648</v>
      </c>
      <c r="D13" s="4">
        <f t="shared" si="0"/>
        <v>723</v>
      </c>
      <c r="E13" s="4">
        <f t="shared" si="0"/>
        <v>762</v>
      </c>
      <c r="F13" s="4">
        <f t="shared" si="0"/>
        <v>748</v>
      </c>
      <c r="G13" s="4">
        <f t="shared" si="0"/>
        <v>763</v>
      </c>
      <c r="H13" s="4">
        <f t="shared" si="0"/>
        <v>806</v>
      </c>
      <c r="I13" s="4">
        <f>SUM(I8:I12)</f>
        <v>380</v>
      </c>
      <c r="J13" s="4">
        <f>SUM(J8:J12)</f>
        <v>157</v>
      </c>
      <c r="K13" s="4">
        <f>SUM(K8:K12)</f>
        <v>340</v>
      </c>
      <c r="L13" s="4">
        <f>SUM(L8:L12)</f>
        <v>480</v>
      </c>
      <c r="M13" s="4">
        <f>SUM(M8:M12)</f>
        <v>528</v>
      </c>
    </row>
    <row r="14" spans="1:18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8" x14ac:dyDescent="0.2">
      <c r="B15" t="s">
        <v>42</v>
      </c>
      <c r="C15" s="2">
        <v>48</v>
      </c>
      <c r="D15" s="2">
        <v>44</v>
      </c>
      <c r="E15" s="2">
        <v>35</v>
      </c>
      <c r="F15" s="2">
        <v>25</v>
      </c>
      <c r="G15" s="2">
        <v>23</v>
      </c>
      <c r="H15" s="2">
        <v>17</v>
      </c>
      <c r="I15" s="2">
        <v>23</v>
      </c>
      <c r="J15" s="2">
        <v>20</v>
      </c>
      <c r="K15" s="2">
        <v>21</v>
      </c>
      <c r="L15" s="2">
        <v>14</v>
      </c>
      <c r="M15" s="2">
        <v>22</v>
      </c>
    </row>
    <row r="16" spans="1:18" x14ac:dyDescent="0.2">
      <c r="B16" t="s">
        <v>47</v>
      </c>
      <c r="C16" s="2">
        <v>14</v>
      </c>
      <c r="D16" s="2">
        <v>14</v>
      </c>
      <c r="E16" s="2">
        <v>12</v>
      </c>
      <c r="F16" s="2">
        <v>15</v>
      </c>
      <c r="G16" s="2">
        <v>16</v>
      </c>
      <c r="H16" s="2">
        <v>10</v>
      </c>
      <c r="I16" s="2">
        <v>11</v>
      </c>
      <c r="J16" s="2">
        <v>4</v>
      </c>
      <c r="K16" s="2">
        <v>16</v>
      </c>
      <c r="L16" s="2">
        <v>12</v>
      </c>
      <c r="M16" s="2">
        <v>9</v>
      </c>
    </row>
    <row r="17" spans="2:18" x14ac:dyDescent="0.2">
      <c r="B17" t="s">
        <v>29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3</v>
      </c>
    </row>
    <row r="18" spans="2:18" x14ac:dyDescent="0.2">
      <c r="B18" t="s">
        <v>48</v>
      </c>
      <c r="C18" s="2">
        <f>14+44</f>
        <v>58</v>
      </c>
      <c r="D18" s="2">
        <v>54</v>
      </c>
      <c r="E18" s="2">
        <f>41+16</f>
        <v>57</v>
      </c>
      <c r="F18" s="2">
        <f>25+25</f>
        <v>50</v>
      </c>
      <c r="G18" s="2">
        <f>35+9</f>
        <v>44</v>
      </c>
      <c r="H18" s="2">
        <f>17+13</f>
        <v>30</v>
      </c>
      <c r="I18" s="2">
        <f>13+22</f>
        <v>35</v>
      </c>
      <c r="J18" s="2">
        <f>27+3</f>
        <v>30</v>
      </c>
      <c r="K18" s="2">
        <f>15+5</f>
        <v>20</v>
      </c>
      <c r="L18" s="2">
        <f>19+9</f>
        <v>28</v>
      </c>
      <c r="M18" s="2">
        <f>11+9</f>
        <v>20</v>
      </c>
    </row>
    <row r="19" spans="2:18" x14ac:dyDescent="0.2">
      <c r="B19" t="s">
        <v>51</v>
      </c>
      <c r="C19">
        <f>45+37</f>
        <v>82</v>
      </c>
      <c r="D19">
        <f>37+45</f>
        <v>82</v>
      </c>
      <c r="E19">
        <f>38+23</f>
        <v>61</v>
      </c>
      <c r="F19">
        <f>34+31</f>
        <v>65</v>
      </c>
      <c r="G19">
        <f>57+11</f>
        <v>68</v>
      </c>
      <c r="H19">
        <v>23</v>
      </c>
      <c r="I19">
        <f>74+37</f>
        <v>111</v>
      </c>
      <c r="J19">
        <f>19+52</f>
        <v>71</v>
      </c>
      <c r="K19">
        <f>27+56</f>
        <v>83</v>
      </c>
      <c r="L19">
        <f>50+25</f>
        <v>75</v>
      </c>
      <c r="M19">
        <f>57+20</f>
        <v>77</v>
      </c>
    </row>
    <row r="20" spans="2:18" x14ac:dyDescent="0.2">
      <c r="B20" t="s">
        <v>53</v>
      </c>
      <c r="J20" s="2"/>
      <c r="L20">
        <v>4</v>
      </c>
      <c r="M20" s="2">
        <v>2</v>
      </c>
    </row>
    <row r="21" spans="2:18" x14ac:dyDescent="0.2">
      <c r="B21" t="s">
        <v>55</v>
      </c>
      <c r="I21">
        <v>28</v>
      </c>
      <c r="J21" s="2">
        <v>14</v>
      </c>
      <c r="K21">
        <v>13</v>
      </c>
      <c r="L21">
        <v>15</v>
      </c>
      <c r="M21" s="2">
        <v>13</v>
      </c>
    </row>
    <row r="22" spans="2:18" x14ac:dyDescent="0.2">
      <c r="B22" t="s">
        <v>56</v>
      </c>
      <c r="C22">
        <v>11</v>
      </c>
      <c r="D22">
        <v>11</v>
      </c>
      <c r="E22">
        <v>14</v>
      </c>
      <c r="F22">
        <v>18</v>
      </c>
      <c r="G22">
        <v>19</v>
      </c>
      <c r="H22">
        <v>16</v>
      </c>
      <c r="I22">
        <v>18</v>
      </c>
      <c r="J22" s="2">
        <v>15</v>
      </c>
      <c r="K22">
        <v>16</v>
      </c>
      <c r="L22">
        <v>12</v>
      </c>
      <c r="M22" s="2">
        <v>11</v>
      </c>
    </row>
    <row r="23" spans="2:18" x14ac:dyDescent="0.2">
      <c r="B23" t="s">
        <v>58</v>
      </c>
      <c r="J23" s="2"/>
      <c r="K23">
        <v>0</v>
      </c>
      <c r="L23">
        <v>4</v>
      </c>
      <c r="M23" s="2">
        <v>5</v>
      </c>
    </row>
    <row r="24" spans="2:18" x14ac:dyDescent="0.2">
      <c r="B24" t="s">
        <v>59</v>
      </c>
      <c r="J24" s="2"/>
      <c r="K24">
        <v>0</v>
      </c>
      <c r="L24">
        <v>1</v>
      </c>
      <c r="M24" s="2">
        <v>0</v>
      </c>
    </row>
    <row r="25" spans="2:18" x14ac:dyDescent="0.2">
      <c r="B25" t="s">
        <v>33</v>
      </c>
      <c r="C25" s="2">
        <v>52981</v>
      </c>
      <c r="D25" s="2">
        <v>59990</v>
      </c>
      <c r="E25" s="2">
        <v>66048</v>
      </c>
      <c r="F25" s="2">
        <v>59378</v>
      </c>
      <c r="G25" s="2">
        <v>58014</v>
      </c>
      <c r="H25" s="2">
        <v>60715</v>
      </c>
      <c r="I25" s="2">
        <v>32255</v>
      </c>
      <c r="J25" s="2">
        <v>16162</v>
      </c>
      <c r="K25" s="2">
        <v>19714</v>
      </c>
      <c r="L25" s="2">
        <v>26026</v>
      </c>
      <c r="M25" s="2">
        <v>33901</v>
      </c>
    </row>
    <row r="26" spans="2:18" x14ac:dyDescent="0.2">
      <c r="B26" t="s">
        <v>34</v>
      </c>
      <c r="C26" s="2">
        <f>15275+8512</f>
        <v>23787</v>
      </c>
      <c r="D26" s="2">
        <f>13500+8003</f>
        <v>21503</v>
      </c>
      <c r="E26" s="2">
        <f>13482+7751</f>
        <v>21233</v>
      </c>
      <c r="F26" s="2">
        <v>20180</v>
      </c>
      <c r="G26" s="2">
        <v>20561</v>
      </c>
      <c r="H26" s="2">
        <v>23195</v>
      </c>
      <c r="I26" s="2">
        <v>26095</v>
      </c>
      <c r="J26" s="2">
        <v>26257</v>
      </c>
      <c r="K26" s="2">
        <v>26540</v>
      </c>
      <c r="L26" s="2">
        <v>23162</v>
      </c>
      <c r="M26" s="2">
        <v>24933</v>
      </c>
    </row>
    <row r="27" spans="2:18" x14ac:dyDescent="0.2">
      <c r="B27" t="s">
        <v>35</v>
      </c>
      <c r="C27" s="2">
        <v>9410</v>
      </c>
      <c r="D27" s="2">
        <v>9378</v>
      </c>
      <c r="E27" s="2">
        <v>9155</v>
      </c>
      <c r="F27" s="2">
        <v>13819</v>
      </c>
      <c r="G27" s="2">
        <v>14581</v>
      </c>
      <c r="H27" s="2">
        <v>17018</v>
      </c>
      <c r="I27" s="2">
        <v>18468</v>
      </c>
      <c r="J27" s="2">
        <v>15543</v>
      </c>
      <c r="K27" s="2">
        <v>16328</v>
      </c>
      <c r="L27" s="2">
        <v>17611</v>
      </c>
      <c r="M27" s="2">
        <v>19127</v>
      </c>
    </row>
    <row r="28" spans="2:18" s="3" customFormat="1" x14ac:dyDescent="0.2">
      <c r="B28" s="3" t="s">
        <v>32</v>
      </c>
      <c r="C28" s="4">
        <v>86623</v>
      </c>
      <c r="D28" s="4">
        <v>90762</v>
      </c>
      <c r="E28" s="4">
        <v>96114</v>
      </c>
      <c r="F28" s="4">
        <f t="shared" ref="F28:H28" si="1">SUM(F25:F27)</f>
        <v>93377</v>
      </c>
      <c r="G28" s="4">
        <f t="shared" si="1"/>
        <v>93156</v>
      </c>
      <c r="H28" s="4">
        <f t="shared" si="1"/>
        <v>100928</v>
      </c>
      <c r="I28" s="4">
        <f>SUM(I25:I27)</f>
        <v>76818</v>
      </c>
      <c r="J28" s="4">
        <f>SUM(J25:J27)</f>
        <v>57962</v>
      </c>
      <c r="K28" s="4">
        <v>62286</v>
      </c>
      <c r="L28" s="4">
        <v>66608</v>
      </c>
      <c r="M28" s="4">
        <v>77794</v>
      </c>
      <c r="N28" s="4">
        <v>66517</v>
      </c>
      <c r="O28" s="4">
        <v>77794</v>
      </c>
      <c r="P28" s="4">
        <f>+O28*1.1</f>
        <v>85573.400000000009</v>
      </c>
      <c r="Q28" s="4">
        <f>+P28*1.1</f>
        <v>94130.74000000002</v>
      </c>
      <c r="R28" s="4">
        <f>+Q28*1.1</f>
        <v>103543.81400000003</v>
      </c>
    </row>
    <row r="29" spans="2:18" x14ac:dyDescent="0.2">
      <c r="B29" t="s">
        <v>60</v>
      </c>
      <c r="C29" s="2">
        <v>73268</v>
      </c>
      <c r="D29" s="2">
        <v>76752</v>
      </c>
      <c r="E29" s="2">
        <v>82088</v>
      </c>
      <c r="F29" s="2">
        <v>79026</v>
      </c>
      <c r="G29" s="2">
        <v>76612</v>
      </c>
      <c r="H29" s="2">
        <v>81490</v>
      </c>
      <c r="I29" s="2">
        <v>62877</v>
      </c>
      <c r="J29" s="2">
        <v>54568</v>
      </c>
      <c r="K29" s="2">
        <v>59237</v>
      </c>
      <c r="L29" s="2">
        <v>63078</v>
      </c>
      <c r="M29" s="2">
        <v>70070</v>
      </c>
      <c r="N29" s="2">
        <v>68508</v>
      </c>
      <c r="O29" s="2">
        <v>70070</v>
      </c>
      <c r="P29" s="2">
        <f>+P28*0.88</f>
        <v>75304.592000000004</v>
      </c>
      <c r="Q29" s="2">
        <f>+Q28*0.85</f>
        <v>80011.129000000015</v>
      </c>
      <c r="R29" s="2">
        <f>+R28*0.8</f>
        <v>82835.051200000031</v>
      </c>
    </row>
    <row r="30" spans="2:18" x14ac:dyDescent="0.2">
      <c r="B30" t="s">
        <v>61</v>
      </c>
      <c r="C30" s="2">
        <f t="shared" ref="C30:M30" si="2">+C28-C29</f>
        <v>13355</v>
      </c>
      <c r="D30" s="2">
        <f t="shared" si="2"/>
        <v>14010</v>
      </c>
      <c r="E30" s="2">
        <f t="shared" si="2"/>
        <v>14026</v>
      </c>
      <c r="F30" s="2">
        <f t="shared" si="2"/>
        <v>14351</v>
      </c>
      <c r="G30" s="2">
        <f t="shared" si="2"/>
        <v>16544</v>
      </c>
      <c r="H30" s="2">
        <f t="shared" si="2"/>
        <v>19438</v>
      </c>
      <c r="I30" s="2">
        <f t="shared" si="2"/>
        <v>13941</v>
      </c>
      <c r="J30" s="2">
        <f t="shared" si="2"/>
        <v>3394</v>
      </c>
      <c r="K30" s="2">
        <f t="shared" si="2"/>
        <v>3049</v>
      </c>
      <c r="L30" s="2">
        <f t="shared" si="2"/>
        <v>3530</v>
      </c>
      <c r="M30" s="2">
        <f t="shared" si="2"/>
        <v>7724</v>
      </c>
      <c r="N30" s="2">
        <f t="shared" ref="N30:R30" si="3">+N28-N29</f>
        <v>-1991</v>
      </c>
      <c r="O30" s="2">
        <f t="shared" si="3"/>
        <v>7724</v>
      </c>
      <c r="P30" s="2">
        <f t="shared" si="3"/>
        <v>10268.808000000005</v>
      </c>
      <c r="Q30" s="2">
        <f t="shared" si="3"/>
        <v>14119.611000000004</v>
      </c>
      <c r="R30" s="2">
        <f t="shared" si="3"/>
        <v>20708.762799999997</v>
      </c>
    </row>
    <row r="31" spans="2:18" x14ac:dyDescent="0.2">
      <c r="B31" t="s">
        <v>62</v>
      </c>
      <c r="C31" s="2">
        <v>3956</v>
      </c>
      <c r="D31" s="2">
        <v>3767</v>
      </c>
      <c r="E31" s="2">
        <v>3525</v>
      </c>
      <c r="F31" s="2">
        <v>3613</v>
      </c>
      <c r="G31" s="2">
        <v>4095</v>
      </c>
      <c r="H31" s="2">
        <v>4567</v>
      </c>
      <c r="I31" s="2">
        <v>3909</v>
      </c>
      <c r="J31" s="2">
        <v>4817</v>
      </c>
      <c r="K31" s="2">
        <v>4157</v>
      </c>
      <c r="L31" s="2">
        <v>4187</v>
      </c>
      <c r="M31" s="2">
        <v>5168</v>
      </c>
      <c r="N31" s="2">
        <v>5021</v>
      </c>
      <c r="O31" s="2">
        <f>+N31*0.9</f>
        <v>4518.9000000000005</v>
      </c>
      <c r="P31" s="2">
        <f>+O31*0.9</f>
        <v>4067.0100000000007</v>
      </c>
      <c r="Q31" s="2">
        <f>+P31*0.9</f>
        <v>3660.3090000000007</v>
      </c>
      <c r="R31" s="2">
        <f>+Q31*0.9</f>
        <v>3294.2781000000004</v>
      </c>
    </row>
    <row r="32" spans="2:18" x14ac:dyDescent="0.2">
      <c r="B32" t="s">
        <v>63</v>
      </c>
      <c r="C32" s="2">
        <v>3071</v>
      </c>
      <c r="D32" s="2">
        <v>3047</v>
      </c>
      <c r="E32" s="2">
        <v>3331</v>
      </c>
      <c r="F32" s="2">
        <v>4626</v>
      </c>
      <c r="G32" s="2">
        <v>3179</v>
      </c>
      <c r="H32" s="2">
        <v>3269</v>
      </c>
      <c r="I32" s="2">
        <v>3219</v>
      </c>
      <c r="J32" s="2">
        <v>2476</v>
      </c>
      <c r="K32" s="2">
        <v>2249</v>
      </c>
      <c r="L32" s="2">
        <v>2852</v>
      </c>
      <c r="M32" s="2">
        <v>3377</v>
      </c>
      <c r="N32" s="2">
        <v>3812</v>
      </c>
      <c r="O32" s="2">
        <f>+N32*0.9</f>
        <v>3430.8</v>
      </c>
      <c r="P32" s="2">
        <f t="shared" ref="P32:R32" si="4">+O32*0.9</f>
        <v>3087.7200000000003</v>
      </c>
      <c r="Q32" s="2">
        <f t="shared" si="4"/>
        <v>2778.9480000000003</v>
      </c>
      <c r="R32" s="2">
        <f t="shared" si="4"/>
        <v>2501.0532000000003</v>
      </c>
    </row>
    <row r="33" spans="2:18" x14ac:dyDescent="0.2">
      <c r="B33" t="s">
        <v>64</v>
      </c>
      <c r="C33" s="2">
        <f t="shared" ref="C33:I33" si="5">SUM(C31:C32)</f>
        <v>7027</v>
      </c>
      <c r="D33" s="2">
        <f t="shared" si="5"/>
        <v>6814</v>
      </c>
      <c r="E33" s="2">
        <f t="shared" si="5"/>
        <v>6856</v>
      </c>
      <c r="F33" s="2">
        <f t="shared" si="5"/>
        <v>8239</v>
      </c>
      <c r="G33" s="2">
        <f t="shared" si="5"/>
        <v>7274</v>
      </c>
      <c r="H33" s="2">
        <f t="shared" si="5"/>
        <v>7836</v>
      </c>
      <c r="I33" s="2">
        <f t="shared" si="5"/>
        <v>7128</v>
      </c>
      <c r="J33" s="2">
        <f t="shared" ref="J33" si="6">SUM(J31:J32)</f>
        <v>7293</v>
      </c>
      <c r="K33" s="2">
        <f>SUM(K31:K32)</f>
        <v>6406</v>
      </c>
      <c r="L33" s="2">
        <f t="shared" ref="L33:M33" si="7">SUM(L31:L32)</f>
        <v>7039</v>
      </c>
      <c r="M33" s="2">
        <f t="shared" si="7"/>
        <v>8545</v>
      </c>
      <c r="N33" s="2">
        <f t="shared" ref="N33:R33" si="8">SUM(N31:N32)</f>
        <v>8833</v>
      </c>
      <c r="O33" s="2">
        <f t="shared" si="8"/>
        <v>7949.7000000000007</v>
      </c>
      <c r="P33" s="2">
        <f t="shared" si="8"/>
        <v>7154.7300000000014</v>
      </c>
      <c r="Q33" s="2">
        <f t="shared" si="8"/>
        <v>6439.2570000000014</v>
      </c>
      <c r="R33" s="2">
        <f t="shared" si="8"/>
        <v>5795.3313000000007</v>
      </c>
    </row>
    <row r="34" spans="2:18" x14ac:dyDescent="0.2">
      <c r="B34" t="s">
        <v>65</v>
      </c>
      <c r="C34" s="2">
        <f t="shared" ref="C34:I34" si="9">+C30-C33</f>
        <v>6328</v>
      </c>
      <c r="D34" s="2">
        <f t="shared" si="9"/>
        <v>7196</v>
      </c>
      <c r="E34" s="2">
        <f t="shared" si="9"/>
        <v>7170</v>
      </c>
      <c r="F34" s="2">
        <f t="shared" si="9"/>
        <v>6112</v>
      </c>
      <c r="G34" s="2">
        <f t="shared" si="9"/>
        <v>9270</v>
      </c>
      <c r="H34" s="2">
        <f t="shared" si="9"/>
        <v>11602</v>
      </c>
      <c r="I34" s="2">
        <f t="shared" si="9"/>
        <v>6813</v>
      </c>
      <c r="J34" s="2">
        <f t="shared" ref="J34" si="10">+J30-J33</f>
        <v>-3899</v>
      </c>
      <c r="K34" s="2">
        <f>+K30-K33</f>
        <v>-3357</v>
      </c>
      <c r="L34" s="2">
        <f t="shared" ref="L34:M34" si="11">+L30-L33</f>
        <v>-3509</v>
      </c>
      <c r="M34" s="2">
        <f t="shared" si="11"/>
        <v>-821</v>
      </c>
      <c r="N34" s="2">
        <f t="shared" ref="N34:R34" si="12">+N30-N33</f>
        <v>-10824</v>
      </c>
      <c r="O34" s="2">
        <f t="shared" si="12"/>
        <v>-225.70000000000073</v>
      </c>
      <c r="P34" s="2">
        <f t="shared" si="12"/>
        <v>3114.0780000000032</v>
      </c>
      <c r="Q34" s="2">
        <f t="shared" si="12"/>
        <v>7680.354000000003</v>
      </c>
      <c r="R34" s="2">
        <f t="shared" si="12"/>
        <v>14913.431499999995</v>
      </c>
    </row>
    <row r="35" spans="2:18" x14ac:dyDescent="0.2">
      <c r="B35" t="s">
        <v>67</v>
      </c>
      <c r="C35" s="2">
        <f>56-386</f>
        <v>-330</v>
      </c>
      <c r="D35" s="2">
        <f>-3-333</f>
        <v>-336</v>
      </c>
      <c r="E35" s="2">
        <f>-13-275</f>
        <v>-288</v>
      </c>
      <c r="F35" s="2">
        <f>-438-306</f>
        <v>-744</v>
      </c>
      <c r="G35" s="2">
        <f>123-360</f>
        <v>-237</v>
      </c>
      <c r="H35" s="2">
        <f>92-475</f>
        <v>-383</v>
      </c>
      <c r="I35" s="2">
        <f>438-722</f>
        <v>-284</v>
      </c>
      <c r="J35" s="2">
        <f>447-2156</f>
        <v>-1709</v>
      </c>
      <c r="K35" s="2">
        <f>551-2714</f>
        <v>-2163</v>
      </c>
      <c r="L35" s="2">
        <f>1058-2561</f>
        <v>-1503</v>
      </c>
      <c r="M35" s="2">
        <f>1227-2459</f>
        <v>-1232</v>
      </c>
      <c r="N35" s="2">
        <f>1222-2725</f>
        <v>-1503</v>
      </c>
      <c r="O35" s="2">
        <f t="shared" ref="O35:R35" si="13">1227-2459</f>
        <v>-1232</v>
      </c>
      <c r="P35" s="2">
        <f t="shared" si="13"/>
        <v>-1232</v>
      </c>
      <c r="Q35" s="2">
        <f t="shared" si="13"/>
        <v>-1232</v>
      </c>
      <c r="R35" s="2">
        <f t="shared" si="13"/>
        <v>-1232</v>
      </c>
    </row>
    <row r="36" spans="2:18" x14ac:dyDescent="0.2">
      <c r="B36" t="s">
        <v>68</v>
      </c>
      <c r="C36" s="2">
        <f t="shared" ref="C36:M36" si="14">+C34+C35</f>
        <v>5998</v>
      </c>
      <c r="D36" s="2">
        <f t="shared" si="14"/>
        <v>6860</v>
      </c>
      <c r="E36" s="2">
        <f t="shared" si="14"/>
        <v>6882</v>
      </c>
      <c r="F36" s="2">
        <f t="shared" si="14"/>
        <v>5368</v>
      </c>
      <c r="G36" s="2">
        <f t="shared" si="14"/>
        <v>9033</v>
      </c>
      <c r="H36" s="2">
        <f t="shared" si="14"/>
        <v>11219</v>
      </c>
      <c r="I36" s="2">
        <f t="shared" si="14"/>
        <v>6529</v>
      </c>
      <c r="J36" s="2">
        <f t="shared" si="14"/>
        <v>-5608</v>
      </c>
      <c r="K36" s="2">
        <f t="shared" si="14"/>
        <v>-5520</v>
      </c>
      <c r="L36" s="2">
        <f t="shared" si="14"/>
        <v>-5012</v>
      </c>
      <c r="M36" s="2">
        <f t="shared" si="14"/>
        <v>-2053</v>
      </c>
      <c r="N36" s="2">
        <f t="shared" ref="N36:R36" si="15">+N34+N35</f>
        <v>-12327</v>
      </c>
      <c r="O36" s="2">
        <f t="shared" si="15"/>
        <v>-1457.7000000000007</v>
      </c>
      <c r="P36" s="2">
        <f t="shared" si="15"/>
        <v>1882.0780000000032</v>
      </c>
      <c r="Q36" s="2">
        <f t="shared" si="15"/>
        <v>6448.354000000003</v>
      </c>
      <c r="R36" s="2">
        <f t="shared" si="15"/>
        <v>13681.431499999995</v>
      </c>
    </row>
    <row r="37" spans="2:18" x14ac:dyDescent="0.2">
      <c r="B37" t="s">
        <v>69</v>
      </c>
      <c r="C37" s="2">
        <v>1646</v>
      </c>
      <c r="D37" s="2">
        <v>1691</v>
      </c>
      <c r="E37" s="2">
        <v>1979</v>
      </c>
      <c r="F37" s="2">
        <v>749</v>
      </c>
      <c r="G37" s="2">
        <v>1649</v>
      </c>
      <c r="H37" s="2">
        <v>1144</v>
      </c>
      <c r="I37" s="2">
        <v>1623</v>
      </c>
      <c r="J37" s="2">
        <v>2535</v>
      </c>
      <c r="K37" s="2">
        <v>743</v>
      </c>
      <c r="L37" s="2">
        <v>-31</v>
      </c>
      <c r="M37" s="2">
        <v>-237</v>
      </c>
      <c r="N37" s="2">
        <v>381</v>
      </c>
      <c r="O37" s="2">
        <v>-237</v>
      </c>
      <c r="P37" s="2">
        <v>-237</v>
      </c>
      <c r="Q37" s="2">
        <v>-237</v>
      </c>
      <c r="R37" s="2">
        <v>-237</v>
      </c>
    </row>
    <row r="38" spans="2:18" s="3" customFormat="1" x14ac:dyDescent="0.2">
      <c r="B38" s="3" t="s">
        <v>70</v>
      </c>
      <c r="C38" s="4">
        <f t="shared" ref="C38:H38" si="16">+C36-C37</f>
        <v>4352</v>
      </c>
      <c r="D38" s="4">
        <f t="shared" si="16"/>
        <v>5169</v>
      </c>
      <c r="E38" s="4">
        <f t="shared" si="16"/>
        <v>4903</v>
      </c>
      <c r="F38" s="4">
        <f t="shared" si="16"/>
        <v>4619</v>
      </c>
      <c r="G38" s="4">
        <f t="shared" si="16"/>
        <v>7384</v>
      </c>
      <c r="H38" s="4">
        <f t="shared" si="16"/>
        <v>10075</v>
      </c>
      <c r="I38" s="4">
        <f t="shared" ref="I38:M38" si="17">+I36-I37</f>
        <v>4906</v>
      </c>
      <c r="J38" s="4">
        <f t="shared" si="17"/>
        <v>-8143</v>
      </c>
      <c r="K38" s="4">
        <f t="shared" si="17"/>
        <v>-6263</v>
      </c>
      <c r="L38" s="4">
        <f t="shared" si="17"/>
        <v>-4981</v>
      </c>
      <c r="M38" s="4">
        <f t="shared" si="17"/>
        <v>-1816</v>
      </c>
      <c r="N38" s="4">
        <f t="shared" ref="N38:R38" si="18">+N36-N37</f>
        <v>-12708</v>
      </c>
      <c r="O38" s="4">
        <f t="shared" si="18"/>
        <v>-1220.7000000000007</v>
      </c>
      <c r="P38" s="4">
        <f t="shared" si="18"/>
        <v>2119.0780000000032</v>
      </c>
      <c r="Q38" s="4">
        <f t="shared" si="18"/>
        <v>6685.354000000003</v>
      </c>
      <c r="R38" s="4">
        <f t="shared" si="18"/>
        <v>13918.431499999995</v>
      </c>
    </row>
    <row r="39" spans="2:1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8" x14ac:dyDescent="0.2">
      <c r="B40" t="s">
        <v>93</v>
      </c>
      <c r="C40" s="7"/>
      <c r="D40" s="7">
        <f t="shared" ref="D40:I40" si="19">+D28/C28-1</f>
        <v>4.778176696720271E-2</v>
      </c>
      <c r="E40" s="7">
        <f t="shared" si="19"/>
        <v>5.8967409268195992E-2</v>
      </c>
      <c r="F40" s="7">
        <f t="shared" si="19"/>
        <v>-2.8476600703331467E-2</v>
      </c>
      <c r="G40" s="7">
        <f t="shared" si="19"/>
        <v>-2.3667498420382183E-3</v>
      </c>
      <c r="H40" s="7">
        <f t="shared" si="19"/>
        <v>8.3429945467817346E-2</v>
      </c>
      <c r="I40" s="7">
        <f t="shared" si="19"/>
        <v>-0.23888316423589095</v>
      </c>
      <c r="J40" s="7">
        <f>+J28/I28-1</f>
        <v>-0.2454633028717228</v>
      </c>
      <c r="K40" s="7">
        <f>+K28/J28-1</f>
        <v>7.4600600393361249E-2</v>
      </c>
      <c r="L40" s="7">
        <f>+L28/K28-1</f>
        <v>6.9389589956009301E-2</v>
      </c>
      <c r="M40" s="7">
        <f>+M28/L28-1</f>
        <v>0.16793778525102088</v>
      </c>
      <c r="N40" s="7">
        <f>+N28/M28-1</f>
        <v>-0.14495976553461709</v>
      </c>
      <c r="O40" s="7">
        <f t="shared" ref="O40:R40" si="20">+O28/N28-1</f>
        <v>0.16953560743869978</v>
      </c>
      <c r="P40" s="7">
        <f t="shared" si="20"/>
        <v>0.10000000000000009</v>
      </c>
      <c r="Q40" s="7">
        <f t="shared" si="20"/>
        <v>0.10000000000000009</v>
      </c>
      <c r="R40" s="7">
        <f t="shared" si="20"/>
        <v>0.10000000000000009</v>
      </c>
    </row>
    <row r="41" spans="2:18" x14ac:dyDescent="0.2">
      <c r="B41" t="s">
        <v>91</v>
      </c>
      <c r="C41" s="7">
        <f t="shared" ref="C41:G41" si="21">+C30/C28</f>
        <v>0.15417383373930713</v>
      </c>
      <c r="D41" s="7">
        <f t="shared" si="21"/>
        <v>0.15435975408210484</v>
      </c>
      <c r="E41" s="7">
        <f t="shared" si="21"/>
        <v>0.1459308737540837</v>
      </c>
      <c r="F41" s="7">
        <f t="shared" si="21"/>
        <v>0.15368880987823555</v>
      </c>
      <c r="G41" s="7">
        <f t="shared" si="21"/>
        <v>0.17759457254497832</v>
      </c>
      <c r="H41" s="7">
        <f>+H30/H28</f>
        <v>0.19259273937856691</v>
      </c>
      <c r="I41" s="7">
        <f t="shared" ref="I41:N41" si="22">+I30/I28</f>
        <v>0.18148090291337968</v>
      </c>
      <c r="J41" s="7">
        <f t="shared" si="22"/>
        <v>5.8555605396639177E-2</v>
      </c>
      <c r="K41" s="7">
        <f t="shared" si="22"/>
        <v>4.8951610313714158E-2</v>
      </c>
      <c r="L41" s="7">
        <f t="shared" si="22"/>
        <v>5.2996637040595727E-2</v>
      </c>
      <c r="M41" s="7">
        <f t="shared" si="22"/>
        <v>9.9287862817183839E-2</v>
      </c>
      <c r="N41" s="7">
        <f t="shared" si="22"/>
        <v>-2.9932197784025137E-2</v>
      </c>
      <c r="O41" s="7">
        <f t="shared" ref="O41:R41" si="23">+O30/O28</f>
        <v>9.9287862817183839E-2</v>
      </c>
      <c r="P41" s="7">
        <f t="shared" si="23"/>
        <v>0.12000000000000004</v>
      </c>
      <c r="Q41" s="7">
        <f t="shared" si="23"/>
        <v>0.15000000000000002</v>
      </c>
      <c r="R41" s="7">
        <f t="shared" si="23"/>
        <v>0.19999999999999993</v>
      </c>
    </row>
    <row r="42" spans="2:1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8" x14ac:dyDescent="0.2">
      <c r="B44" t="s">
        <v>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f>12691+3274+1035</f>
        <v>17000</v>
      </c>
    </row>
    <row r="45" spans="2:18" x14ac:dyDescent="0.2">
      <c r="B45" t="s">
        <v>71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>
        <f>2649+8317+99+860</f>
        <v>11925</v>
      </c>
    </row>
    <row r="46" spans="2:18" x14ac:dyDescent="0.2">
      <c r="B46" t="s">
        <v>72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>
        <v>79741</v>
      </c>
    </row>
    <row r="47" spans="2:18" x14ac:dyDescent="0.2">
      <c r="B47" t="s">
        <v>73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2504</v>
      </c>
    </row>
    <row r="48" spans="2:18" x14ac:dyDescent="0.2">
      <c r="B48" t="s">
        <v>74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10661</v>
      </c>
    </row>
    <row r="49" spans="2:13" x14ac:dyDescent="0.2">
      <c r="B49" t="s">
        <v>75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f>8093+2094</f>
        <v>10187</v>
      </c>
    </row>
    <row r="50" spans="2:13" x14ac:dyDescent="0.2">
      <c r="B50" t="s">
        <v>76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f>4935+59</f>
        <v>4994</v>
      </c>
    </row>
    <row r="51" spans="2:13" x14ac:dyDescent="0.2">
      <c r="B51" t="s">
        <v>77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f>SUM(M44:M50)</f>
        <v>137012</v>
      </c>
    </row>
    <row r="52" spans="2:13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2">
      <c r="B53" t="s">
        <v>78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>
        <v>11964</v>
      </c>
    </row>
    <row r="54" spans="2:13" x14ac:dyDescent="0.2">
      <c r="B54" t="s">
        <v>79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>
        <v>22331</v>
      </c>
    </row>
    <row r="55" spans="2:13" x14ac:dyDescent="0.2">
      <c r="B55" t="s">
        <v>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>
        <v>56328</v>
      </c>
    </row>
    <row r="56" spans="2:13" x14ac:dyDescent="0.2">
      <c r="B56" t="s">
        <v>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>
        <f>5204+47103</f>
        <v>52307</v>
      </c>
    </row>
    <row r="57" spans="2:13" x14ac:dyDescent="0.2">
      <c r="B57" t="s">
        <v>81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>
        <f>2233+6516</f>
        <v>8749</v>
      </c>
    </row>
    <row r="58" spans="2:13" x14ac:dyDescent="0.2">
      <c r="B58" t="s">
        <v>82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>
        <f>2332+229</f>
        <v>2561</v>
      </c>
    </row>
    <row r="59" spans="2:13" x14ac:dyDescent="0.2">
      <c r="B59" t="s">
        <v>83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>
        <v>-17228</v>
      </c>
    </row>
    <row r="60" spans="2:13" x14ac:dyDescent="0.2">
      <c r="B60" t="s">
        <v>84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>
        <f>SUM(M53:M59)</f>
        <v>137012</v>
      </c>
    </row>
    <row r="61" spans="2:13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2">
      <c r="B62" s="3" t="s">
        <v>85</v>
      </c>
      <c r="C62" s="4">
        <v>8179</v>
      </c>
      <c r="D62" s="4">
        <v>8858</v>
      </c>
      <c r="E62" s="4">
        <v>9363</v>
      </c>
      <c r="F62" s="4">
        <v>10496</v>
      </c>
      <c r="G62" s="4">
        <v>13346</v>
      </c>
      <c r="H62" s="4">
        <v>15322</v>
      </c>
      <c r="I62" s="4">
        <v>-2446</v>
      </c>
      <c r="J62" s="4">
        <v>-18410</v>
      </c>
      <c r="K62" s="4">
        <v>-3416</v>
      </c>
      <c r="L62" s="4">
        <v>3512</v>
      </c>
      <c r="M62" s="4">
        <v>5960</v>
      </c>
    </row>
    <row r="63" spans="2:13" x14ac:dyDescent="0.2">
      <c r="B63" t="s">
        <v>86</v>
      </c>
      <c r="C63" s="2">
        <v>-2098</v>
      </c>
      <c r="D63" s="2">
        <v>-2236</v>
      </c>
      <c r="E63" s="2">
        <v>-2450</v>
      </c>
      <c r="F63" s="2">
        <v>-2613</v>
      </c>
      <c r="G63" s="2">
        <v>-1739</v>
      </c>
      <c r="H63" s="2">
        <v>-1722</v>
      </c>
      <c r="I63" s="2">
        <v>-1834</v>
      </c>
      <c r="J63" s="2">
        <v>-1303</v>
      </c>
      <c r="K63" s="2">
        <v>-980</v>
      </c>
      <c r="L63" s="2">
        <v>-1222</v>
      </c>
      <c r="M63" s="2">
        <v>-1527</v>
      </c>
    </row>
    <row r="64" spans="2:13" s="3" customFormat="1" x14ac:dyDescent="0.2">
      <c r="B64" s="3" t="s">
        <v>87</v>
      </c>
      <c r="C64" s="4">
        <f t="shared" ref="C64:M64" si="24">+C62+C63</f>
        <v>6081</v>
      </c>
      <c r="D64" s="4">
        <f t="shared" si="24"/>
        <v>6622</v>
      </c>
      <c r="E64" s="4">
        <f t="shared" si="24"/>
        <v>6913</v>
      </c>
      <c r="F64" s="4">
        <f t="shared" si="24"/>
        <v>7883</v>
      </c>
      <c r="G64" s="4">
        <f t="shared" si="24"/>
        <v>11607</v>
      </c>
      <c r="H64" s="4">
        <f t="shared" si="24"/>
        <v>13600</v>
      </c>
      <c r="I64" s="4">
        <f t="shared" si="24"/>
        <v>-4280</v>
      </c>
      <c r="J64" s="4">
        <f t="shared" si="24"/>
        <v>-19713</v>
      </c>
      <c r="K64" s="4">
        <f t="shared" si="24"/>
        <v>-4396</v>
      </c>
      <c r="L64" s="4">
        <f t="shared" si="24"/>
        <v>2290</v>
      </c>
      <c r="M64" s="4">
        <f t="shared" si="24"/>
        <v>4433</v>
      </c>
    </row>
    <row r="65" spans="2:13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x14ac:dyDescent="0.2">
      <c r="B66" t="s">
        <v>94</v>
      </c>
      <c r="C66" s="2"/>
      <c r="D66" s="2"/>
      <c r="E66" s="2">
        <v>161400</v>
      </c>
      <c r="F66" s="2">
        <v>150500</v>
      </c>
      <c r="G66" s="2">
        <v>140800</v>
      </c>
      <c r="H66" s="2">
        <v>153000</v>
      </c>
      <c r="I66" s="2">
        <v>161000</v>
      </c>
      <c r="J66" s="2"/>
      <c r="K66" s="2">
        <v>156000</v>
      </c>
      <c r="L66" s="2">
        <v>156000</v>
      </c>
      <c r="M66" s="2">
        <v>171000</v>
      </c>
    </row>
  </sheetData>
  <hyperlinks>
    <hyperlink ref="A1" location="Main!A1" display="Main" xr:uid="{48EBE6E6-9B54-4CED-BD9D-F72E2DCB26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2024-08-23T16:21:31Z</dcterms:created>
  <dcterms:modified xsi:type="dcterms:W3CDTF">2025-10-07T23:32:26Z</dcterms:modified>
</cp:coreProperties>
</file>