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en\Downloads\"/>
    </mc:Choice>
  </mc:AlternateContent>
  <xr:revisionPtr revIDLastSave="0" documentId="13_ncr:1_{017DE5DA-607C-43CA-AFF2-DC08DECD56A5}" xr6:coauthVersionLast="47" xr6:coauthVersionMax="47" xr10:uidLastSave="{00000000-0000-0000-0000-000000000000}"/>
  <bookViews>
    <workbookView xWindow="4500" yWindow="4500" windowWidth="18075" windowHeight="16020" xr2:uid="{80D34D77-E514-4500-BDDF-0CF4860ADC68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2" l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R26" i="2"/>
  <c r="S26" i="2"/>
  <c r="D22" i="2"/>
  <c r="D20" i="2"/>
  <c r="D17" i="2"/>
  <c r="H29" i="2"/>
  <c r="H24" i="2"/>
  <c r="H22" i="2"/>
  <c r="H20" i="2"/>
  <c r="H17" i="2"/>
  <c r="F50" i="2"/>
  <c r="J50" i="2"/>
  <c r="S50" i="2"/>
  <c r="R50" i="2"/>
  <c r="Q50" i="2"/>
  <c r="Q24" i="2"/>
  <c r="Q22" i="2"/>
  <c r="Q20" i="2"/>
  <c r="R24" i="2"/>
  <c r="R22" i="2"/>
  <c r="S22" i="2"/>
  <c r="R20" i="2"/>
  <c r="S24" i="2"/>
  <c r="S20" i="2"/>
  <c r="S13" i="2"/>
  <c r="R13" i="2"/>
  <c r="Q13" i="2"/>
  <c r="S9" i="2"/>
  <c r="R9" i="2"/>
  <c r="Q9" i="2"/>
  <c r="S6" i="2"/>
  <c r="R6" i="2"/>
  <c r="Q6" i="2"/>
  <c r="J29" i="2"/>
  <c r="F13" i="2"/>
  <c r="F9" i="2"/>
  <c r="F6" i="2"/>
  <c r="J13" i="2"/>
  <c r="J9" i="2"/>
  <c r="J6" i="2"/>
  <c r="J41" i="2"/>
  <c r="J46" i="2" s="1"/>
  <c r="J37" i="2"/>
  <c r="J32" i="2"/>
  <c r="F24" i="2"/>
  <c r="F22" i="2"/>
  <c r="J24" i="2"/>
  <c r="J22" i="2"/>
  <c r="F20" i="2"/>
  <c r="F17" i="2"/>
  <c r="J20" i="2"/>
  <c r="J17" i="2"/>
  <c r="M4" i="1"/>
  <c r="M7" i="1" s="1"/>
  <c r="R15" i="2" l="1"/>
  <c r="R17" i="2" s="1"/>
  <c r="R30" i="2" s="1"/>
  <c r="S15" i="2"/>
  <c r="S17" i="2" s="1"/>
  <c r="S21" i="2" s="1"/>
  <c r="S23" i="2" s="1"/>
  <c r="S25" i="2" s="1"/>
  <c r="H21" i="2"/>
  <c r="H23" i="2" s="1"/>
  <c r="H25" i="2" s="1"/>
  <c r="H26" i="2" s="1"/>
  <c r="S30" i="2"/>
  <c r="S29" i="2"/>
  <c r="Q15" i="2"/>
  <c r="Q17" i="2" s="1"/>
  <c r="D21" i="2"/>
  <c r="D23" i="2" s="1"/>
  <c r="D25" i="2" s="1"/>
  <c r="D26" i="2" s="1"/>
  <c r="R21" i="2"/>
  <c r="R23" i="2" s="1"/>
  <c r="R25" i="2" s="1"/>
  <c r="J21" i="2"/>
  <c r="J23" i="2" s="1"/>
  <c r="J25" i="2" s="1"/>
  <c r="J26" i="2" s="1"/>
  <c r="J39" i="2"/>
  <c r="F21" i="2"/>
  <c r="F23" i="2" s="1"/>
  <c r="F25" i="2" s="1"/>
  <c r="F26" i="2" s="1"/>
  <c r="Q21" i="2" l="1"/>
  <c r="Q23" i="2" s="1"/>
  <c r="Q25" i="2" s="1"/>
  <c r="Q30" i="2"/>
  <c r="R29" i="2"/>
</calcChain>
</file>

<file path=xl/sharedStrings.xml><?xml version="1.0" encoding="utf-8"?>
<sst xmlns="http://schemas.openxmlformats.org/spreadsheetml/2006/main" count="72" uniqueCount="65">
  <si>
    <t>Price</t>
  </si>
  <si>
    <t>Shares</t>
  </si>
  <si>
    <t>MC</t>
  </si>
  <si>
    <t>Cash</t>
  </si>
  <si>
    <t>Debt</t>
  </si>
  <si>
    <t>EV</t>
  </si>
  <si>
    <t>Q422</t>
  </si>
  <si>
    <t>Main</t>
  </si>
  <si>
    <t>Revenue</t>
  </si>
  <si>
    <t>Q121</t>
  </si>
  <si>
    <t>Q221</t>
  </si>
  <si>
    <t>Q321</t>
  </si>
  <si>
    <t>Q421</t>
  </si>
  <si>
    <t>Q122</t>
  </si>
  <si>
    <t>Q222</t>
  </si>
  <si>
    <t>Q322</t>
  </si>
  <si>
    <t>Q123</t>
  </si>
  <si>
    <t>Q223</t>
  </si>
  <si>
    <t>Q323</t>
  </si>
  <si>
    <t>Q423</t>
  </si>
  <si>
    <t>Operating Income</t>
  </si>
  <si>
    <t>Operating Expenses</t>
  </si>
  <si>
    <t>R&amp;D</t>
  </si>
  <si>
    <t>S&amp;A</t>
  </si>
  <si>
    <t>Gross Margin</t>
  </si>
  <si>
    <t>COGS</t>
  </si>
  <si>
    <t>EPS</t>
  </si>
  <si>
    <t>Net Income</t>
  </si>
  <si>
    <t>Taxes</t>
  </si>
  <si>
    <t>Pretax Income</t>
  </si>
  <si>
    <t>Interest Expense</t>
  </si>
  <si>
    <t>AR</t>
  </si>
  <si>
    <t>Inventories</t>
  </si>
  <si>
    <t>Prepaids</t>
  </si>
  <si>
    <t>PP&amp;E</t>
  </si>
  <si>
    <t>Goodwill</t>
  </si>
  <si>
    <t>OA</t>
  </si>
  <si>
    <t>Assets</t>
  </si>
  <si>
    <t>AP</t>
  </si>
  <si>
    <t>Pension</t>
  </si>
  <si>
    <t>DT/OL</t>
  </si>
  <si>
    <t>S/E</t>
  </si>
  <si>
    <t>L+S/E</t>
  </si>
  <si>
    <t>Delivery</t>
  </si>
  <si>
    <t>Management</t>
  </si>
  <si>
    <t>Pharma Systems</t>
  </si>
  <si>
    <t>Medical</t>
  </si>
  <si>
    <t>Diagnostics</t>
  </si>
  <si>
    <t>Biosciences</t>
  </si>
  <si>
    <t>Life Sciences</t>
  </si>
  <si>
    <t>Surgery</t>
  </si>
  <si>
    <t>Peripheral</t>
  </si>
  <si>
    <t>Urology/CC</t>
  </si>
  <si>
    <t>Interventional</t>
  </si>
  <si>
    <t>Revenue y/y</t>
  </si>
  <si>
    <t>CFFO</t>
  </si>
  <si>
    <t>CapEx</t>
  </si>
  <si>
    <t>FCF</t>
  </si>
  <si>
    <t>Key Divisions and Focus Areas:</t>
  </si>
  <si>
    <r>
      <t>Medication Management:</t>
    </r>
    <r>
      <rPr>
        <sz val="10"/>
        <color theme="1"/>
        <rFont val="Arial"/>
        <family val="2"/>
      </rPr>
      <t xml:space="preserve"> Catheters, infusion pumps, IV fluids, and dispensing systems improving drug safety and administration efficiency.</t>
    </r>
  </si>
  <si>
    <r>
      <t>Pharmaceutical Systems:</t>
    </r>
    <r>
      <rPr>
        <sz val="10"/>
        <color theme="1"/>
        <rFont val="Arial"/>
        <family val="2"/>
      </rPr>
      <t xml:space="preserve"> Prefilled syringes and self-injection platforms supporting biopharma delivery.</t>
    </r>
  </si>
  <si>
    <r>
      <t>Diagnostics:</t>
    </r>
    <r>
      <rPr>
        <sz val="10"/>
        <color theme="1"/>
        <rFont val="Arial"/>
        <family val="2"/>
      </rPr>
      <t xml:space="preserve"> Blood and specimen collection, culture systems, ID and HPV testing, and cytology solutions.</t>
    </r>
  </si>
  <si>
    <r>
      <t>Biosciences:</t>
    </r>
    <r>
      <rPr>
        <sz val="10"/>
        <color theme="1"/>
        <rFont val="Arial"/>
        <family val="2"/>
      </rPr>
      <t xml:space="preserve"> Cell analysis, flow cytometry, and research reagents for life science applications.</t>
    </r>
  </si>
  <si>
    <r>
      <t>Surgery &amp; Peripheral Intervention:</t>
    </r>
    <r>
      <rPr>
        <sz val="10"/>
        <color theme="1"/>
        <rFont val="Arial"/>
        <family val="2"/>
      </rPr>
      <t xml:space="preserve"> Hernia and soft-tissue repair, RF and PTA catheters, and peripheral stents.</t>
    </r>
  </si>
  <si>
    <r>
      <t>Urology &amp; Critical Care:</t>
    </r>
    <r>
      <rPr>
        <sz val="10"/>
        <color theme="1"/>
        <rFont val="Arial"/>
        <family val="2"/>
      </rPr>
      <t xml:space="preserve"> Urine management and kidney stone treatment systems.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</si>
</sst>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0" fillId="0" borderId="0" xfId="0" applyNumberFormat="1"/>
    <xf numFmtId="0" fontId="1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26276</xdr:colOff>
      <xdr:row>0</xdr:row>
      <xdr:rowOff>39414</xdr:rowOff>
    </xdr:from>
    <xdr:to>
      <xdr:col>10</xdr:col>
      <xdr:colOff>26276</xdr:colOff>
      <xdr:row>57</xdr:row>
      <xdr:rowOff>13138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94D232D-709B-3E72-D585-FD71FEA21BD2}"/>
            </a:ext>
          </a:extLst>
        </xdr:cNvPr>
        <xdr:cNvCxnSpPr/>
      </xdr:nvCxnSpPr>
      <xdr:spPr>
        <a:xfrm>
          <a:off x="8900948" y="39414"/>
          <a:ext cx="0" cy="68711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7882</xdr:colOff>
      <xdr:row>0</xdr:row>
      <xdr:rowOff>0</xdr:rowOff>
    </xdr:from>
    <xdr:to>
      <xdr:col>19</xdr:col>
      <xdr:colOff>7882</xdr:colOff>
      <xdr:row>56</xdr:row>
      <xdr:rowOff>137948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4C3EB6D7-5407-444A-B583-1DA6C14CDC3C}"/>
            </a:ext>
          </a:extLst>
        </xdr:cNvPr>
        <xdr:cNvCxnSpPr/>
      </xdr:nvCxnSpPr>
      <xdr:spPr>
        <a:xfrm>
          <a:off x="18046261" y="0"/>
          <a:ext cx="0" cy="91702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20A5-9A2C-4630-A7F8-40230434F347}">
  <dimension ref="B2:N15"/>
  <sheetViews>
    <sheetView tabSelected="1" zoomScaleNormal="100" workbookViewId="0">
      <selection activeCell="C22" sqref="C22"/>
    </sheetView>
  </sheetViews>
  <sheetFormatPr defaultRowHeight="12.75" x14ac:dyDescent="0.2"/>
  <cols>
    <col min="2" max="2" width="9.28515625" customWidth="1"/>
  </cols>
  <sheetData>
    <row r="2" spans="2:14" x14ac:dyDescent="0.2">
      <c r="L2" t="s">
        <v>0</v>
      </c>
      <c r="M2">
        <v>245.84</v>
      </c>
    </row>
    <row r="3" spans="2:14" x14ac:dyDescent="0.2">
      <c r="L3" t="s">
        <v>1</v>
      </c>
      <c r="M3" s="1">
        <v>283.90164199999998</v>
      </c>
      <c r="N3" s="2" t="s">
        <v>6</v>
      </c>
    </row>
    <row r="4" spans="2:14" x14ac:dyDescent="0.2">
      <c r="L4" t="s">
        <v>2</v>
      </c>
      <c r="M4" s="1">
        <f>+M2*M3</f>
        <v>69794.379669279995</v>
      </c>
    </row>
    <row r="5" spans="2:14" x14ac:dyDescent="0.2">
      <c r="L5" t="s">
        <v>3</v>
      </c>
      <c r="M5" s="1">
        <v>745</v>
      </c>
      <c r="N5" s="2" t="s">
        <v>6</v>
      </c>
    </row>
    <row r="6" spans="2:14" x14ac:dyDescent="0.2">
      <c r="L6" t="s">
        <v>4</v>
      </c>
      <c r="M6" s="1">
        <v>16456</v>
      </c>
      <c r="N6" s="2" t="s">
        <v>6</v>
      </c>
    </row>
    <row r="7" spans="2:14" x14ac:dyDescent="0.2">
      <c r="L7" t="s">
        <v>5</v>
      </c>
      <c r="M7" s="1">
        <f>+M4-M5+M6</f>
        <v>85505.379669279995</v>
      </c>
    </row>
    <row r="8" spans="2:14" x14ac:dyDescent="0.2">
      <c r="B8" s="11" t="s">
        <v>58</v>
      </c>
    </row>
    <row r="10" spans="2:14" x14ac:dyDescent="0.2">
      <c r="B10" s="10" t="s">
        <v>59</v>
      </c>
    </row>
    <row r="11" spans="2:14" x14ac:dyDescent="0.2">
      <c r="B11" s="10" t="s">
        <v>60</v>
      </c>
    </row>
    <row r="12" spans="2:14" x14ac:dyDescent="0.2">
      <c r="B12" s="10" t="s">
        <v>61</v>
      </c>
    </row>
    <row r="13" spans="2:14" x14ac:dyDescent="0.2">
      <c r="B13" s="10" t="s">
        <v>62</v>
      </c>
    </row>
    <row r="14" spans="2:14" x14ac:dyDescent="0.2">
      <c r="B14" s="10" t="s">
        <v>63</v>
      </c>
    </row>
    <row r="15" spans="2:14" x14ac:dyDescent="0.2">
      <c r="B15" s="10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1EA3-2045-440B-A275-1406DD96650B}">
  <dimension ref="A1:AL50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X47" sqref="X47"/>
    </sheetView>
  </sheetViews>
  <sheetFormatPr defaultRowHeight="12.75" x14ac:dyDescent="0.2"/>
  <cols>
    <col min="1" max="1" width="5" bestFit="1" customWidth="1"/>
    <col min="2" max="2" width="18.140625" bestFit="1" customWidth="1"/>
    <col min="3" max="14" width="9.140625" style="2"/>
  </cols>
  <sheetData>
    <row r="1" spans="1:38" x14ac:dyDescent="0.2">
      <c r="A1" s="5" t="s">
        <v>7</v>
      </c>
    </row>
    <row r="2" spans="1:38" x14ac:dyDescent="0.2"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6</v>
      </c>
      <c r="K2" s="2" t="s">
        <v>16</v>
      </c>
      <c r="L2" s="2" t="s">
        <v>17</v>
      </c>
      <c r="M2" s="2" t="s">
        <v>18</v>
      </c>
      <c r="N2" s="2" t="s">
        <v>19</v>
      </c>
      <c r="Q2">
        <v>2020</v>
      </c>
      <c r="R2">
        <f t="shared" ref="R2:AL2" si="0">+Q2+1</f>
        <v>2021</v>
      </c>
      <c r="S2">
        <f t="shared" si="0"/>
        <v>2022</v>
      </c>
      <c r="T2">
        <f t="shared" si="0"/>
        <v>2023</v>
      </c>
      <c r="U2">
        <f t="shared" si="0"/>
        <v>2024</v>
      </c>
      <c r="V2">
        <f t="shared" si="0"/>
        <v>2025</v>
      </c>
      <c r="W2">
        <f t="shared" si="0"/>
        <v>2026</v>
      </c>
      <c r="X2">
        <f t="shared" si="0"/>
        <v>2027</v>
      </c>
      <c r="Y2">
        <f t="shared" si="0"/>
        <v>2028</v>
      </c>
      <c r="Z2">
        <f t="shared" si="0"/>
        <v>2029</v>
      </c>
      <c r="AA2">
        <f t="shared" si="0"/>
        <v>2030</v>
      </c>
      <c r="AB2">
        <f t="shared" si="0"/>
        <v>2031</v>
      </c>
      <c r="AC2">
        <f t="shared" si="0"/>
        <v>2032</v>
      </c>
      <c r="AD2">
        <f t="shared" si="0"/>
        <v>2033</v>
      </c>
      <c r="AE2">
        <f t="shared" si="0"/>
        <v>2034</v>
      </c>
      <c r="AF2">
        <f t="shared" si="0"/>
        <v>2035</v>
      </c>
      <c r="AG2">
        <f t="shared" si="0"/>
        <v>2036</v>
      </c>
      <c r="AH2">
        <f t="shared" si="0"/>
        <v>2037</v>
      </c>
      <c r="AI2">
        <f t="shared" si="0"/>
        <v>2038</v>
      </c>
      <c r="AJ2">
        <f t="shared" si="0"/>
        <v>2039</v>
      </c>
      <c r="AK2">
        <f t="shared" si="0"/>
        <v>2040</v>
      </c>
      <c r="AL2">
        <f t="shared" si="0"/>
        <v>2041</v>
      </c>
    </row>
    <row r="3" spans="1:38" s="1" customFormat="1" x14ac:dyDescent="0.2">
      <c r="B3" s="1" t="s">
        <v>43</v>
      </c>
      <c r="C3" s="4"/>
      <c r="D3" s="4"/>
      <c r="E3" s="4"/>
      <c r="F3" s="4">
        <v>1096</v>
      </c>
      <c r="G3" s="4"/>
      <c r="H3" s="4"/>
      <c r="I3" s="4"/>
      <c r="J3" s="4">
        <v>1039</v>
      </c>
      <c r="K3" s="4"/>
      <c r="L3" s="4"/>
      <c r="M3" s="4"/>
      <c r="N3" s="4"/>
      <c r="Q3" s="1">
        <v>3596</v>
      </c>
      <c r="R3" s="1">
        <v>4101</v>
      </c>
      <c r="S3" s="1">
        <v>4308</v>
      </c>
    </row>
    <row r="4" spans="1:38" s="1" customFormat="1" x14ac:dyDescent="0.2">
      <c r="B4" s="1" t="s">
        <v>44</v>
      </c>
      <c r="C4" s="4"/>
      <c r="D4" s="4"/>
      <c r="E4" s="4"/>
      <c r="F4" s="4">
        <v>627</v>
      </c>
      <c r="G4" s="4"/>
      <c r="H4" s="4"/>
      <c r="I4" s="4"/>
      <c r="J4" s="4">
        <v>706</v>
      </c>
      <c r="K4" s="4"/>
      <c r="L4" s="4"/>
      <c r="M4" s="4"/>
      <c r="N4" s="4"/>
      <c r="Q4" s="1">
        <v>2454</v>
      </c>
      <c r="R4" s="1">
        <v>2432</v>
      </c>
      <c r="S4" s="1">
        <v>2533</v>
      </c>
    </row>
    <row r="5" spans="1:38" s="1" customFormat="1" x14ac:dyDescent="0.2">
      <c r="B5" s="1" t="s">
        <v>45</v>
      </c>
      <c r="C5" s="4"/>
      <c r="D5" s="4"/>
      <c r="E5" s="4"/>
      <c r="F5" s="4">
        <v>397</v>
      </c>
      <c r="G5" s="4"/>
      <c r="H5" s="4"/>
      <c r="I5" s="4"/>
      <c r="J5" s="4">
        <v>409</v>
      </c>
      <c r="K5" s="4"/>
      <c r="L5" s="4"/>
      <c r="M5" s="4"/>
      <c r="N5" s="4"/>
      <c r="Q5" s="1">
        <v>1587</v>
      </c>
      <c r="R5" s="1">
        <v>1828</v>
      </c>
      <c r="S5" s="1">
        <v>2001</v>
      </c>
    </row>
    <row r="6" spans="1:38" s="6" customFormat="1" x14ac:dyDescent="0.2">
      <c r="B6" s="6" t="s">
        <v>46</v>
      </c>
      <c r="C6" s="7"/>
      <c r="D6" s="7"/>
      <c r="E6" s="7"/>
      <c r="F6" s="7">
        <f>+F3+F4+F5</f>
        <v>2120</v>
      </c>
      <c r="G6" s="7"/>
      <c r="H6" s="7"/>
      <c r="I6" s="7"/>
      <c r="J6" s="7">
        <f>+J3+J4+J5</f>
        <v>2154</v>
      </c>
      <c r="K6" s="7"/>
      <c r="L6" s="7"/>
      <c r="M6" s="7"/>
      <c r="N6" s="7"/>
      <c r="Q6" s="6">
        <f>+Q5+Q4+Q3</f>
        <v>7637</v>
      </c>
      <c r="R6" s="6">
        <f t="shared" ref="R6:S6" si="1">+R5+R4+R3</f>
        <v>8361</v>
      </c>
      <c r="S6" s="6">
        <f t="shared" si="1"/>
        <v>8842</v>
      </c>
    </row>
    <row r="7" spans="1:38" s="1" customFormat="1" x14ac:dyDescent="0.2">
      <c r="B7" s="1" t="s">
        <v>47</v>
      </c>
      <c r="C7" s="4"/>
      <c r="D7" s="4"/>
      <c r="E7" s="4"/>
      <c r="F7" s="4">
        <v>1145</v>
      </c>
      <c r="G7" s="4"/>
      <c r="H7" s="4"/>
      <c r="I7" s="4"/>
      <c r="J7" s="4">
        <v>952</v>
      </c>
      <c r="K7" s="4"/>
      <c r="L7" s="4"/>
      <c r="M7" s="4"/>
      <c r="N7" s="4"/>
      <c r="Q7" s="1">
        <v>3532</v>
      </c>
      <c r="R7" s="1">
        <v>5225</v>
      </c>
      <c r="S7" s="1">
        <v>4185</v>
      </c>
    </row>
    <row r="8" spans="1:38" s="1" customFormat="1" x14ac:dyDescent="0.2">
      <c r="B8" s="1" t="s">
        <v>48</v>
      </c>
      <c r="C8" s="4"/>
      <c r="D8" s="4"/>
      <c r="E8" s="4"/>
      <c r="F8" s="4">
        <v>338</v>
      </c>
      <c r="G8" s="4"/>
      <c r="H8" s="4"/>
      <c r="I8" s="4"/>
      <c r="J8" s="4">
        <v>349</v>
      </c>
      <c r="K8" s="4"/>
      <c r="L8" s="4"/>
      <c r="M8" s="4"/>
      <c r="N8" s="4"/>
      <c r="Q8" s="1">
        <v>1143</v>
      </c>
      <c r="R8" s="1">
        <v>1305</v>
      </c>
      <c r="S8" s="1">
        <v>1379</v>
      </c>
    </row>
    <row r="9" spans="1:38" s="6" customFormat="1" x14ac:dyDescent="0.2">
      <c r="B9" s="6" t="s">
        <v>49</v>
      </c>
      <c r="C9" s="7"/>
      <c r="D9" s="7"/>
      <c r="E9" s="7"/>
      <c r="F9" s="7">
        <f>+F7+F8</f>
        <v>1483</v>
      </c>
      <c r="G9" s="7"/>
      <c r="H9" s="7"/>
      <c r="I9" s="7"/>
      <c r="J9" s="7">
        <f>+J7+J8</f>
        <v>1301</v>
      </c>
      <c r="K9" s="7"/>
      <c r="L9" s="7"/>
      <c r="M9" s="7"/>
      <c r="N9" s="7"/>
      <c r="Q9" s="6">
        <f>+Q7+Q8</f>
        <v>4675</v>
      </c>
      <c r="R9" s="6">
        <f t="shared" ref="R9:S9" si="2">+R7+R8</f>
        <v>6530</v>
      </c>
      <c r="S9" s="6">
        <f t="shared" si="2"/>
        <v>5564</v>
      </c>
    </row>
    <row r="10" spans="1:38" s="1" customFormat="1" x14ac:dyDescent="0.2">
      <c r="B10" s="1" t="s">
        <v>50</v>
      </c>
      <c r="C10" s="4"/>
      <c r="D10" s="4"/>
      <c r="E10" s="4"/>
      <c r="F10" s="4">
        <v>361</v>
      </c>
      <c r="G10" s="4"/>
      <c r="H10" s="4"/>
      <c r="I10" s="4"/>
      <c r="J10" s="4">
        <v>363</v>
      </c>
      <c r="K10" s="4"/>
      <c r="L10" s="4"/>
      <c r="M10" s="4"/>
      <c r="N10" s="4"/>
      <c r="Q10" s="1">
        <v>1121</v>
      </c>
      <c r="R10" s="1">
        <v>1296</v>
      </c>
      <c r="S10" s="1">
        <v>1400</v>
      </c>
    </row>
    <row r="11" spans="1:38" s="1" customFormat="1" x14ac:dyDescent="0.2">
      <c r="B11" s="1" t="s">
        <v>51</v>
      </c>
      <c r="C11" s="4"/>
      <c r="D11" s="4"/>
      <c r="E11" s="4"/>
      <c r="F11" s="4">
        <v>413</v>
      </c>
      <c r="G11" s="4"/>
      <c r="H11" s="4"/>
      <c r="I11" s="4"/>
      <c r="J11" s="4">
        <v>433</v>
      </c>
      <c r="K11" s="4"/>
      <c r="L11" s="4"/>
      <c r="M11" s="4"/>
      <c r="N11" s="4"/>
      <c r="Q11" s="1">
        <v>1511</v>
      </c>
      <c r="R11" s="1">
        <v>1711</v>
      </c>
      <c r="S11" s="1">
        <v>1759</v>
      </c>
    </row>
    <row r="12" spans="1:38" s="1" customFormat="1" x14ac:dyDescent="0.2">
      <c r="B12" s="1" t="s">
        <v>52</v>
      </c>
      <c r="C12" s="4"/>
      <c r="D12" s="4"/>
      <c r="E12" s="4"/>
      <c r="F12" s="4">
        <v>340</v>
      </c>
      <c r="G12" s="4"/>
      <c r="H12" s="4"/>
      <c r="I12" s="4"/>
      <c r="J12" s="4">
        <v>333</v>
      </c>
      <c r="K12" s="4"/>
      <c r="L12" s="4"/>
      <c r="M12" s="4"/>
      <c r="N12" s="4"/>
      <c r="Q12" s="1">
        <v>1130</v>
      </c>
      <c r="R12" s="1">
        <v>1232</v>
      </c>
      <c r="S12" s="1">
        <v>1305</v>
      </c>
    </row>
    <row r="13" spans="1:38" s="6" customFormat="1" x14ac:dyDescent="0.2">
      <c r="B13" s="6" t="s">
        <v>53</v>
      </c>
      <c r="C13" s="7"/>
      <c r="D13" s="7"/>
      <c r="E13" s="7"/>
      <c r="F13" s="7">
        <f>+F10+F11+F12</f>
        <v>1114</v>
      </c>
      <c r="G13" s="7"/>
      <c r="H13" s="7"/>
      <c r="I13" s="7"/>
      <c r="J13" s="7">
        <f>+J10+J11+J12</f>
        <v>1129</v>
      </c>
      <c r="K13" s="7"/>
      <c r="L13" s="7"/>
      <c r="M13" s="7"/>
      <c r="N13" s="7"/>
      <c r="Q13" s="6">
        <f>+Q10+Q11+Q12</f>
        <v>3762</v>
      </c>
      <c r="R13" s="6">
        <f t="shared" ref="R13:S13" si="3">+R10+R11+R12</f>
        <v>4239</v>
      </c>
      <c r="S13" s="6">
        <f t="shared" si="3"/>
        <v>4464</v>
      </c>
    </row>
    <row r="15" spans="1:38" s="6" customFormat="1" x14ac:dyDescent="0.2">
      <c r="B15" s="6" t="s">
        <v>8</v>
      </c>
      <c r="C15" s="7"/>
      <c r="D15" s="7">
        <v>4607</v>
      </c>
      <c r="E15" s="7"/>
      <c r="F15" s="7">
        <v>4718</v>
      </c>
      <c r="G15" s="7"/>
      <c r="H15" s="7">
        <v>4641</v>
      </c>
      <c r="I15" s="7"/>
      <c r="J15" s="7">
        <v>4586</v>
      </c>
      <c r="K15" s="7"/>
      <c r="L15" s="7"/>
      <c r="M15" s="7"/>
      <c r="N15" s="7"/>
      <c r="Q15" s="6">
        <f>+Q13+Q9+Q6</f>
        <v>16074</v>
      </c>
      <c r="R15" s="6">
        <f t="shared" ref="R15:S15" si="4">+R13+R9+R6</f>
        <v>19130</v>
      </c>
      <c r="S15" s="6">
        <f t="shared" si="4"/>
        <v>18870</v>
      </c>
    </row>
    <row r="16" spans="1:38" s="1" customFormat="1" x14ac:dyDescent="0.2">
      <c r="B16" s="1" t="s">
        <v>25</v>
      </c>
      <c r="C16" s="4"/>
      <c r="D16" s="4">
        <v>2649</v>
      </c>
      <c r="E16" s="4"/>
      <c r="F16" s="4">
        <v>2498</v>
      </c>
      <c r="G16" s="4"/>
      <c r="H16" s="4">
        <v>2574</v>
      </c>
      <c r="I16" s="4"/>
      <c r="J16" s="4">
        <v>2453</v>
      </c>
      <c r="K16" s="4"/>
      <c r="L16" s="4"/>
      <c r="M16" s="4"/>
      <c r="N16" s="4"/>
      <c r="Q16" s="1">
        <v>9276</v>
      </c>
      <c r="R16" s="1">
        <v>10500</v>
      </c>
      <c r="S16" s="1">
        <v>10393</v>
      </c>
    </row>
    <row r="17" spans="2:19" s="1" customFormat="1" x14ac:dyDescent="0.2">
      <c r="B17" s="1" t="s">
        <v>24</v>
      </c>
      <c r="C17" s="4"/>
      <c r="D17" s="4">
        <f>+D15-D16</f>
        <v>1958</v>
      </c>
      <c r="E17" s="4"/>
      <c r="F17" s="4">
        <f>+F15-F16</f>
        <v>2220</v>
      </c>
      <c r="G17" s="4"/>
      <c r="H17" s="4">
        <f>+H15-H16</f>
        <v>2067</v>
      </c>
      <c r="I17" s="4"/>
      <c r="J17" s="4">
        <f>+J15-J16</f>
        <v>2133</v>
      </c>
      <c r="K17" s="4"/>
      <c r="L17" s="4"/>
      <c r="M17" s="4"/>
      <c r="N17" s="4"/>
      <c r="Q17" s="1">
        <f>+Q15-Q16</f>
        <v>6798</v>
      </c>
      <c r="R17" s="1">
        <f t="shared" ref="R17:S17" si="5">+R15-R16</f>
        <v>8630</v>
      </c>
      <c r="S17" s="1">
        <f t="shared" si="5"/>
        <v>8477</v>
      </c>
    </row>
    <row r="18" spans="2:19" s="1" customFormat="1" x14ac:dyDescent="0.2">
      <c r="B18" s="1" t="s">
        <v>23</v>
      </c>
      <c r="C18" s="4"/>
      <c r="D18" s="4">
        <v>1200</v>
      </c>
      <c r="E18" s="4"/>
      <c r="F18" s="4">
        <v>1185</v>
      </c>
      <c r="G18" s="4"/>
      <c r="H18" s="4">
        <v>1149</v>
      </c>
      <c r="I18" s="4"/>
      <c r="J18" s="4">
        <v>1187</v>
      </c>
      <c r="K18" s="4"/>
      <c r="L18" s="4"/>
      <c r="M18" s="4"/>
      <c r="N18" s="4"/>
      <c r="Q18" s="1">
        <v>4185</v>
      </c>
      <c r="R18" s="1">
        <v>4719</v>
      </c>
      <c r="S18" s="1">
        <v>4709</v>
      </c>
    </row>
    <row r="19" spans="2:19" s="1" customFormat="1" x14ac:dyDescent="0.2">
      <c r="B19" s="1" t="s">
        <v>22</v>
      </c>
      <c r="C19" s="4"/>
      <c r="D19" s="4">
        <v>330</v>
      </c>
      <c r="E19" s="4"/>
      <c r="F19" s="4">
        <v>314</v>
      </c>
      <c r="G19" s="4"/>
      <c r="H19" s="4">
        <v>315</v>
      </c>
      <c r="I19" s="4"/>
      <c r="J19" s="4">
        <v>313</v>
      </c>
      <c r="K19" s="4"/>
      <c r="L19" s="4"/>
      <c r="M19" s="4"/>
      <c r="N19" s="4"/>
      <c r="Q19" s="1">
        <v>1039</v>
      </c>
      <c r="R19" s="1">
        <v>1279</v>
      </c>
      <c r="S19" s="1">
        <v>1256</v>
      </c>
    </row>
    <row r="20" spans="2:19" s="1" customFormat="1" x14ac:dyDescent="0.2">
      <c r="B20" s="1" t="s">
        <v>21</v>
      </c>
      <c r="C20" s="4"/>
      <c r="D20" s="4">
        <f>+D18+D19</f>
        <v>1530</v>
      </c>
      <c r="E20" s="4"/>
      <c r="F20" s="4">
        <f>+F18+F19</f>
        <v>1499</v>
      </c>
      <c r="G20" s="4"/>
      <c r="H20" s="4">
        <f>+H18+H19</f>
        <v>1464</v>
      </c>
      <c r="I20" s="4"/>
      <c r="J20" s="4">
        <f>+J18+J19</f>
        <v>1500</v>
      </c>
      <c r="K20" s="4"/>
      <c r="L20" s="4"/>
      <c r="M20" s="4"/>
      <c r="N20" s="4"/>
      <c r="Q20" s="1">
        <f>+Q18+Q19</f>
        <v>5224</v>
      </c>
      <c r="R20" s="1">
        <f>+R18+R19</f>
        <v>5998</v>
      </c>
      <c r="S20" s="1">
        <f>+S18+S19</f>
        <v>5965</v>
      </c>
    </row>
    <row r="21" spans="2:19" s="1" customFormat="1" x14ac:dyDescent="0.2">
      <c r="B21" s="1" t="s">
        <v>20</v>
      </c>
      <c r="C21" s="4"/>
      <c r="D21" s="4">
        <f>+D17-D20</f>
        <v>428</v>
      </c>
      <c r="E21" s="4"/>
      <c r="F21" s="4">
        <f>+F17-F20</f>
        <v>721</v>
      </c>
      <c r="G21" s="4"/>
      <c r="H21" s="4">
        <f>+H17-H20</f>
        <v>603</v>
      </c>
      <c r="I21" s="4"/>
      <c r="J21" s="4">
        <f>+J17-J20</f>
        <v>633</v>
      </c>
      <c r="K21" s="4"/>
      <c r="L21" s="4"/>
      <c r="M21" s="4"/>
      <c r="N21" s="4"/>
      <c r="Q21" s="1">
        <f>+Q17-Q20</f>
        <v>1574</v>
      </c>
      <c r="R21" s="1">
        <f>+R17-R20</f>
        <v>2632</v>
      </c>
      <c r="S21" s="1">
        <f>+S17-S20</f>
        <v>2512</v>
      </c>
    </row>
    <row r="22" spans="2:19" s="1" customFormat="1" x14ac:dyDescent="0.2">
      <c r="B22" s="1" t="s">
        <v>30</v>
      </c>
      <c r="C22" s="4"/>
      <c r="D22" s="4">
        <f>-115+88+2-1</f>
        <v>-26</v>
      </c>
      <c r="E22" s="4"/>
      <c r="F22" s="4">
        <f>-98+2+4</f>
        <v>-92</v>
      </c>
      <c r="G22" s="4"/>
      <c r="H22" s="4">
        <f>-99+5-21-11</f>
        <v>-126</v>
      </c>
      <c r="I22" s="4"/>
      <c r="J22" s="4">
        <f>-102+6-8</f>
        <v>-104</v>
      </c>
      <c r="K22" s="4"/>
      <c r="L22" s="4"/>
      <c r="M22" s="4"/>
      <c r="N22" s="4"/>
      <c r="Q22" s="1">
        <f>-363-528+7+23</f>
        <v>-861</v>
      </c>
      <c r="R22" s="1">
        <f>-203-469-99+9</f>
        <v>-762</v>
      </c>
      <c r="S22" s="1">
        <f>-398+16-117-37</f>
        <v>-536</v>
      </c>
    </row>
    <row r="23" spans="2:19" s="1" customFormat="1" x14ac:dyDescent="0.2">
      <c r="B23" s="1" t="s">
        <v>29</v>
      </c>
      <c r="C23" s="4"/>
      <c r="D23" s="4">
        <f>+D21+D22</f>
        <v>402</v>
      </c>
      <c r="E23" s="4"/>
      <c r="F23" s="4">
        <f>+F21+F22</f>
        <v>629</v>
      </c>
      <c r="G23" s="4"/>
      <c r="H23" s="4">
        <f>+H21+H22</f>
        <v>477</v>
      </c>
      <c r="I23" s="4"/>
      <c r="J23" s="4">
        <f>+J21+J22</f>
        <v>529</v>
      </c>
      <c r="K23" s="4"/>
      <c r="L23" s="4"/>
      <c r="M23" s="4"/>
      <c r="N23" s="4"/>
      <c r="Q23" s="1">
        <f>+Q21+Q22</f>
        <v>713</v>
      </c>
      <c r="R23" s="1">
        <f>+R21+R22</f>
        <v>1870</v>
      </c>
      <c r="S23" s="1">
        <f>+S21+S22</f>
        <v>1976</v>
      </c>
    </row>
    <row r="24" spans="2:19" s="1" customFormat="1" x14ac:dyDescent="0.2">
      <c r="B24" s="1" t="s">
        <v>28</v>
      </c>
      <c r="C24" s="4"/>
      <c r="D24" s="4">
        <v>23</v>
      </c>
      <c r="E24" s="4"/>
      <c r="F24" s="4">
        <f>32+23</f>
        <v>55</v>
      </c>
      <c r="G24" s="4"/>
      <c r="H24" s="4">
        <f>31+23</f>
        <v>54</v>
      </c>
      <c r="I24" s="4"/>
      <c r="J24" s="4">
        <f>-28+23</f>
        <v>-5</v>
      </c>
      <c r="K24" s="4"/>
      <c r="L24" s="4"/>
      <c r="M24" s="4"/>
      <c r="N24" s="4"/>
      <c r="Q24" s="1">
        <f>62+107</f>
        <v>169</v>
      </c>
      <c r="R24" s="1">
        <f>88+90</f>
        <v>178</v>
      </c>
      <c r="S24" s="1">
        <f>148+90</f>
        <v>238</v>
      </c>
    </row>
    <row r="25" spans="2:19" s="1" customFormat="1" x14ac:dyDescent="0.2">
      <c r="B25" s="1" t="s">
        <v>27</v>
      </c>
      <c r="C25" s="4"/>
      <c r="D25" s="4">
        <f>+D23-D24</f>
        <v>379</v>
      </c>
      <c r="E25" s="4"/>
      <c r="F25" s="4">
        <f>+F23-F24</f>
        <v>574</v>
      </c>
      <c r="G25" s="4"/>
      <c r="H25" s="4">
        <f>+H23-H24</f>
        <v>423</v>
      </c>
      <c r="I25" s="4"/>
      <c r="J25" s="4">
        <f>+J23-J24</f>
        <v>534</v>
      </c>
      <c r="K25" s="4"/>
      <c r="L25" s="4"/>
      <c r="M25" s="4"/>
      <c r="N25" s="4"/>
      <c r="Q25" s="1">
        <f>+Q23-Q24</f>
        <v>544</v>
      </c>
      <c r="R25" s="1">
        <f>+R23-R24</f>
        <v>1692</v>
      </c>
      <c r="S25" s="1">
        <f>+S23-S24</f>
        <v>1738</v>
      </c>
    </row>
    <row r="26" spans="2:19" x14ac:dyDescent="0.2">
      <c r="B26" t="s">
        <v>26</v>
      </c>
      <c r="D26" s="3">
        <f>+D25/D27</f>
        <v>1.3218332676485667</v>
      </c>
      <c r="F26" s="3">
        <f>+F25/F27</f>
        <v>2.0019321784440032</v>
      </c>
      <c r="H26" s="3">
        <f>+H25/H27</f>
        <v>1.4831951257285223</v>
      </c>
      <c r="J26" s="3">
        <f>+J25/J27</f>
        <v>1.8809331155611986</v>
      </c>
      <c r="R26" s="1">
        <f>364.639901-80.163949</f>
        <v>284.47595200000001</v>
      </c>
      <c r="S26" s="1">
        <f>364.639901-81.283191</f>
        <v>283.35671000000002</v>
      </c>
    </row>
    <row r="27" spans="2:19" s="1" customFormat="1" x14ac:dyDescent="0.2">
      <c r="B27" s="1" t="s">
        <v>1</v>
      </c>
      <c r="C27" s="4"/>
      <c r="D27" s="4">
        <v>286.72300000000001</v>
      </c>
      <c r="E27" s="4"/>
      <c r="F27" s="4">
        <v>286.72300000000001</v>
      </c>
      <c r="G27" s="4"/>
      <c r="H27" s="4">
        <v>285.19511199999999</v>
      </c>
      <c r="I27" s="4"/>
      <c r="J27" s="4">
        <v>283.90164199999998</v>
      </c>
      <c r="K27" s="4"/>
      <c r="L27" s="4"/>
      <c r="M27" s="4"/>
      <c r="N27" s="4"/>
    </row>
    <row r="29" spans="2:19" x14ac:dyDescent="0.2">
      <c r="B29" s="1" t="s">
        <v>54</v>
      </c>
      <c r="H29" s="8">
        <f>+H15/D15-1</f>
        <v>7.3800738007379074E-3</v>
      </c>
      <c r="J29" s="8">
        <f>+J15/F15-1</f>
        <v>-2.7977956761339517E-2</v>
      </c>
      <c r="R29" s="9">
        <f>+R15/Q15-1</f>
        <v>0.19012069180042301</v>
      </c>
      <c r="S29" s="9">
        <f>+S15/R15-1</f>
        <v>-1.3591217982226844E-2</v>
      </c>
    </row>
    <row r="30" spans="2:19" x14ac:dyDescent="0.2">
      <c r="B30" s="1" t="s">
        <v>24</v>
      </c>
      <c r="H30" s="8"/>
      <c r="J30" s="8"/>
      <c r="Q30" s="9">
        <f>+Q17/Q15</f>
        <v>0.42291899962672641</v>
      </c>
      <c r="R30" s="9">
        <f t="shared" ref="R30:S30" si="6">+R17/R15</f>
        <v>0.45112388917929952</v>
      </c>
      <c r="S30" s="9">
        <f t="shared" si="6"/>
        <v>0.44923158452570217</v>
      </c>
    </row>
    <row r="32" spans="2:19" s="1" customFormat="1" x14ac:dyDescent="0.2">
      <c r="B32" s="1" t="s">
        <v>3</v>
      </c>
      <c r="C32" s="4"/>
      <c r="D32" s="4"/>
      <c r="E32" s="4"/>
      <c r="F32" s="4"/>
      <c r="G32" s="4"/>
      <c r="H32" s="4"/>
      <c r="I32" s="4"/>
      <c r="J32" s="4">
        <f>612+133</f>
        <v>745</v>
      </c>
      <c r="K32" s="4"/>
      <c r="L32" s="4"/>
      <c r="M32" s="4"/>
      <c r="N32" s="4"/>
    </row>
    <row r="33" spans="2:19" s="1" customFormat="1" x14ac:dyDescent="0.2">
      <c r="B33" s="1" t="s">
        <v>31</v>
      </c>
      <c r="C33" s="4"/>
      <c r="D33" s="4"/>
      <c r="E33" s="4"/>
      <c r="F33" s="4"/>
      <c r="G33" s="4"/>
      <c r="H33" s="4"/>
      <c r="I33" s="4"/>
      <c r="J33" s="4">
        <v>2282</v>
      </c>
      <c r="K33" s="4"/>
      <c r="L33" s="4"/>
      <c r="M33" s="4"/>
      <c r="N33" s="4"/>
    </row>
    <row r="34" spans="2:19" s="1" customFormat="1" x14ac:dyDescent="0.2">
      <c r="B34" s="1" t="s">
        <v>32</v>
      </c>
      <c r="C34" s="4"/>
      <c r="D34" s="4"/>
      <c r="E34" s="4"/>
      <c r="F34" s="4"/>
      <c r="G34" s="4"/>
      <c r="H34" s="4"/>
      <c r="I34" s="4"/>
      <c r="J34" s="4">
        <v>3604</v>
      </c>
      <c r="K34" s="4"/>
      <c r="L34" s="4"/>
      <c r="M34" s="4"/>
      <c r="N34" s="4"/>
    </row>
    <row r="35" spans="2:19" s="1" customFormat="1" x14ac:dyDescent="0.2">
      <c r="B35" s="1" t="s">
        <v>33</v>
      </c>
      <c r="C35" s="4"/>
      <c r="D35" s="4"/>
      <c r="E35" s="4"/>
      <c r="F35" s="4"/>
      <c r="G35" s="4"/>
      <c r="H35" s="4"/>
      <c r="I35" s="4"/>
      <c r="J35" s="4">
        <v>1545</v>
      </c>
      <c r="K35" s="4"/>
      <c r="L35" s="4"/>
      <c r="M35" s="4"/>
      <c r="N35" s="4"/>
    </row>
    <row r="36" spans="2:19" s="1" customFormat="1" x14ac:dyDescent="0.2">
      <c r="B36" s="1" t="s">
        <v>34</v>
      </c>
      <c r="C36" s="4"/>
      <c r="D36" s="4"/>
      <c r="E36" s="4"/>
      <c r="F36" s="4"/>
      <c r="G36" s="4"/>
      <c r="H36" s="4"/>
      <c r="I36" s="4"/>
      <c r="J36" s="4">
        <v>6247</v>
      </c>
      <c r="K36" s="4"/>
      <c r="L36" s="4"/>
      <c r="M36" s="4"/>
      <c r="N36" s="4"/>
    </row>
    <row r="37" spans="2:19" s="1" customFormat="1" x14ac:dyDescent="0.2">
      <c r="B37" s="1" t="s">
        <v>35</v>
      </c>
      <c r="C37" s="4"/>
      <c r="D37" s="4"/>
      <c r="E37" s="4"/>
      <c r="F37" s="4"/>
      <c r="G37" s="4"/>
      <c r="H37" s="4"/>
      <c r="I37" s="4"/>
      <c r="J37" s="4">
        <f>24763+8874+2599+517</f>
        <v>36753</v>
      </c>
      <c r="K37" s="4"/>
      <c r="L37" s="4"/>
      <c r="M37" s="4"/>
      <c r="N37" s="4"/>
    </row>
    <row r="38" spans="2:19" s="1" customFormat="1" x14ac:dyDescent="0.2">
      <c r="B38" s="1" t="s">
        <v>36</v>
      </c>
      <c r="C38" s="4"/>
      <c r="D38" s="4"/>
      <c r="E38" s="4"/>
      <c r="F38" s="4"/>
      <c r="G38" s="4"/>
      <c r="H38" s="4"/>
      <c r="I38" s="4"/>
      <c r="J38" s="4">
        <v>1955</v>
      </c>
      <c r="K38" s="4"/>
      <c r="L38" s="4"/>
      <c r="M38" s="4"/>
      <c r="N38" s="4"/>
    </row>
    <row r="39" spans="2:19" s="1" customFormat="1" x14ac:dyDescent="0.2">
      <c r="B39" s="1" t="s">
        <v>37</v>
      </c>
      <c r="C39" s="4"/>
      <c r="D39" s="4"/>
      <c r="E39" s="4"/>
      <c r="F39" s="4"/>
      <c r="G39" s="4"/>
      <c r="H39" s="4"/>
      <c r="I39" s="4"/>
      <c r="J39" s="4">
        <f>SUM(J32:J38)</f>
        <v>53131</v>
      </c>
      <c r="K39" s="4"/>
      <c r="L39" s="4"/>
      <c r="M39" s="4"/>
      <c r="N39" s="4"/>
    </row>
    <row r="40" spans="2:19" s="1" customFormat="1" x14ac:dyDescent="0.2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2:19" s="1" customFormat="1" x14ac:dyDescent="0.2">
      <c r="B41" s="1" t="s">
        <v>4</v>
      </c>
      <c r="C41" s="4"/>
      <c r="D41" s="4"/>
      <c r="E41" s="4"/>
      <c r="F41" s="4"/>
      <c r="G41" s="4"/>
      <c r="H41" s="4"/>
      <c r="I41" s="4"/>
      <c r="J41" s="4">
        <f>2188+14268</f>
        <v>16456</v>
      </c>
      <c r="K41" s="4"/>
      <c r="L41" s="4"/>
      <c r="M41" s="4"/>
      <c r="N41" s="4"/>
    </row>
    <row r="42" spans="2:19" s="1" customFormat="1" x14ac:dyDescent="0.2">
      <c r="B42" s="1" t="s">
        <v>38</v>
      </c>
      <c r="C42" s="4"/>
      <c r="D42" s="4"/>
      <c r="E42" s="4"/>
      <c r="F42" s="4"/>
      <c r="G42" s="4"/>
      <c r="H42" s="4"/>
      <c r="I42" s="4"/>
      <c r="J42" s="4">
        <v>5437</v>
      </c>
      <c r="K42" s="4"/>
      <c r="L42" s="4"/>
      <c r="M42" s="4"/>
      <c r="N42" s="4"/>
    </row>
    <row r="43" spans="2:19" s="1" customFormat="1" x14ac:dyDescent="0.2">
      <c r="B43" s="1" t="s">
        <v>39</v>
      </c>
      <c r="C43" s="4"/>
      <c r="D43" s="4"/>
      <c r="E43" s="4"/>
      <c r="F43" s="4"/>
      <c r="G43" s="4"/>
      <c r="H43" s="4"/>
      <c r="I43" s="4"/>
      <c r="J43" s="4">
        <v>902</v>
      </c>
      <c r="K43" s="4"/>
      <c r="L43" s="4"/>
      <c r="M43" s="4"/>
      <c r="N43" s="4"/>
    </row>
    <row r="44" spans="2:19" s="1" customFormat="1" x14ac:dyDescent="0.2">
      <c r="B44" s="1" t="s">
        <v>40</v>
      </c>
      <c r="C44" s="4"/>
      <c r="D44" s="4"/>
      <c r="E44" s="4"/>
      <c r="F44" s="4"/>
      <c r="G44" s="4"/>
      <c r="H44" s="4"/>
      <c r="I44" s="4"/>
      <c r="J44" s="4">
        <v>4862</v>
      </c>
      <c r="K44" s="4"/>
      <c r="L44" s="4"/>
      <c r="M44" s="4"/>
      <c r="N44" s="4"/>
    </row>
    <row r="45" spans="2:19" s="1" customFormat="1" x14ac:dyDescent="0.2">
      <c r="B45" s="1" t="s">
        <v>41</v>
      </c>
      <c r="C45" s="4"/>
      <c r="D45" s="4"/>
      <c r="E45" s="4"/>
      <c r="F45" s="4"/>
      <c r="G45" s="4"/>
      <c r="H45" s="4"/>
      <c r="I45" s="4"/>
      <c r="J45" s="4">
        <v>25472</v>
      </c>
      <c r="K45" s="4"/>
      <c r="L45" s="4"/>
      <c r="M45" s="4"/>
      <c r="N45" s="4"/>
    </row>
    <row r="46" spans="2:19" s="1" customFormat="1" x14ac:dyDescent="0.2">
      <c r="B46" s="1" t="s">
        <v>42</v>
      </c>
      <c r="C46" s="4"/>
      <c r="D46" s="4"/>
      <c r="E46" s="4"/>
      <c r="F46" s="4"/>
      <c r="G46" s="4"/>
      <c r="H46" s="4"/>
      <c r="I46" s="4"/>
      <c r="J46" s="4">
        <f>SUM(J41:J45)</f>
        <v>53129</v>
      </c>
      <c r="K46" s="4"/>
      <c r="L46" s="4"/>
      <c r="M46" s="4"/>
      <c r="N46" s="4"/>
    </row>
    <row r="48" spans="2:19" x14ac:dyDescent="0.2">
      <c r="B48" s="1" t="s">
        <v>55</v>
      </c>
      <c r="F48" s="2">
        <v>530</v>
      </c>
      <c r="J48" s="2">
        <v>399</v>
      </c>
      <c r="Q48" s="1">
        <v>2937</v>
      </c>
      <c r="R48" s="1">
        <v>4126</v>
      </c>
      <c r="S48" s="1">
        <v>2471</v>
      </c>
    </row>
    <row r="49" spans="2:19" x14ac:dyDescent="0.2">
      <c r="B49" s="1" t="s">
        <v>56</v>
      </c>
      <c r="F49" s="2">
        <v>183</v>
      </c>
      <c r="J49" s="2">
        <v>208</v>
      </c>
      <c r="Q49" s="1">
        <v>769</v>
      </c>
      <c r="R49" s="1">
        <v>1194</v>
      </c>
      <c r="S49" s="1">
        <v>973</v>
      </c>
    </row>
    <row r="50" spans="2:19" x14ac:dyDescent="0.2">
      <c r="B50" s="1" t="s">
        <v>57</v>
      </c>
      <c r="F50" s="2">
        <f>+F48-F49</f>
        <v>347</v>
      </c>
      <c r="J50" s="2">
        <f>+J48-J49</f>
        <v>191</v>
      </c>
      <c r="Q50" s="1">
        <f>+Q48-Q49</f>
        <v>2168</v>
      </c>
      <c r="R50" s="1">
        <f t="shared" ref="R50:S50" si="7">+R48-R49</f>
        <v>2932</v>
      </c>
      <c r="S50" s="1">
        <f t="shared" si="7"/>
        <v>1498</v>
      </c>
    </row>
  </sheetData>
  <hyperlinks>
    <hyperlink ref="A1" location="Main!A1" display="Main" xr:uid="{B056562E-DC6A-4278-A6AB-2C9AB58C019E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Nichols Ringholm</dc:creator>
  <cp:lastModifiedBy>Sam Nichols Ringholm</cp:lastModifiedBy>
  <dcterms:created xsi:type="dcterms:W3CDTF">2023-02-04T15:25:30Z</dcterms:created>
  <dcterms:modified xsi:type="dcterms:W3CDTF">2025-10-08T09:32:08Z</dcterms:modified>
</cp:coreProperties>
</file>