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AA0EC417-B21A-4904-BD31-7E0CC6A7D442}" xr6:coauthVersionLast="47" xr6:coauthVersionMax="47" xr10:uidLastSave="{00000000-0000-0000-0000-000000000000}"/>
  <bookViews>
    <workbookView xWindow="165" yWindow="0" windowWidth="25635" windowHeight="21000" activeTab="1" xr2:uid="{D8662FF4-CB14-4DDD-918E-9F5E95BD3F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/>
  <c r="O14" i="2"/>
  <c r="O28" i="2" s="1"/>
  <c r="M14" i="2"/>
  <c r="M28" i="2" s="1"/>
  <c r="L14" i="2"/>
  <c r="N14" i="2"/>
  <c r="N28" i="2" s="1"/>
  <c r="P33" i="2"/>
  <c r="Q33" i="2"/>
  <c r="T33" i="2"/>
  <c r="S33" i="2"/>
  <c r="R33" i="2"/>
  <c r="Q15" i="2"/>
  <c r="P15" i="2"/>
  <c r="Q19" i="2"/>
  <c r="P19" i="2"/>
  <c r="Q14" i="2"/>
  <c r="P14" i="2"/>
  <c r="P28" i="2" s="1"/>
  <c r="R15" i="2"/>
  <c r="R19" i="2" s="1"/>
  <c r="R14" i="2"/>
  <c r="R28" i="2" s="1"/>
  <c r="J7" i="1"/>
  <c r="J6" i="1"/>
  <c r="S15" i="2"/>
  <c r="S19" i="2" s="1"/>
  <c r="T15" i="2"/>
  <c r="T19" i="2" s="1"/>
  <c r="T14" i="2"/>
  <c r="T20" i="2" s="1"/>
  <c r="T29" i="2" s="1"/>
  <c r="S14" i="2"/>
  <c r="S28" i="2" s="1"/>
  <c r="T8" i="2"/>
  <c r="S8" i="2"/>
  <c r="T3" i="2"/>
  <c r="S3" i="2"/>
  <c r="J5" i="1"/>
  <c r="J8" i="1" s="1"/>
  <c r="Q28" i="2" l="1"/>
  <c r="T28" i="2"/>
  <c r="Q20" i="2"/>
  <c r="Q22" i="2" s="1"/>
  <c r="Q24" i="2" s="1"/>
  <c r="Q25" i="2" s="1"/>
  <c r="P20" i="2"/>
  <c r="P22" i="2" s="1"/>
  <c r="P24" i="2" s="1"/>
  <c r="P25" i="2" s="1"/>
  <c r="U14" i="2"/>
  <c r="U28" i="2" s="1"/>
  <c r="U15" i="2"/>
  <c r="U19" i="2" s="1"/>
  <c r="U20" i="2" s="1"/>
  <c r="R20" i="2"/>
  <c r="R22" i="2" s="1"/>
  <c r="R24" i="2" s="1"/>
  <c r="R25" i="2" s="1"/>
  <c r="T22" i="2"/>
  <c r="T24" i="2" s="1"/>
  <c r="T25" i="2" s="1"/>
  <c r="S20" i="2"/>
  <c r="S29" i="2" l="1"/>
  <c r="S22" i="2"/>
  <c r="S24" i="2" s="1"/>
  <c r="S25" i="2" s="1"/>
  <c r="U22" i="2"/>
  <c r="U29" i="2"/>
  <c r="U23" i="2" l="1"/>
  <c r="U24" i="2" s="1"/>
  <c r="U25" i="2" s="1"/>
</calcChain>
</file>

<file path=xl/sharedStrings.xml><?xml version="1.0" encoding="utf-8"?>
<sst xmlns="http://schemas.openxmlformats.org/spreadsheetml/2006/main" count="56" uniqueCount="52">
  <si>
    <t>Price</t>
  </si>
  <si>
    <t>Shares</t>
  </si>
  <si>
    <t>MC</t>
  </si>
  <si>
    <t>Cash</t>
  </si>
  <si>
    <t>Debt</t>
  </si>
  <si>
    <t>EV</t>
  </si>
  <si>
    <t>Q424</t>
  </si>
  <si>
    <t>Main</t>
  </si>
  <si>
    <t>Rooms</t>
  </si>
  <si>
    <t>Q123</t>
  </si>
  <si>
    <t>Q223</t>
  </si>
  <si>
    <t>Q323</t>
  </si>
  <si>
    <t>Q423</t>
  </si>
  <si>
    <t>Q124</t>
  </si>
  <si>
    <t>Q224</t>
  </si>
  <si>
    <t>Q324</t>
  </si>
  <si>
    <t>Gross Bookings</t>
  </si>
  <si>
    <t>Agent</t>
  </si>
  <si>
    <t>Merchant</t>
  </si>
  <si>
    <t>Merchant Revenue</t>
  </si>
  <si>
    <t>Agency Revenue</t>
  </si>
  <si>
    <t>Other</t>
  </si>
  <si>
    <t>Revenue</t>
  </si>
  <si>
    <t>IT</t>
  </si>
  <si>
    <t>G&amp;A</t>
  </si>
  <si>
    <t>People</t>
  </si>
  <si>
    <t>S&amp;M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</si>
  <si>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</si>
  <si>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</si>
  <si>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</si>
  <si>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</si>
  <si>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</si>
  <si>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</si>
  <si>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</si>
  <si>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</si>
  <si>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FCF</t>
  </si>
  <si>
    <t>CX</t>
  </si>
  <si>
    <t>CFFO</t>
  </si>
  <si>
    <t>Revenue y/y</t>
  </si>
  <si>
    <t>Booking.com</t>
  </si>
  <si>
    <t>Priceline</t>
  </si>
  <si>
    <t>Kayak</t>
  </si>
  <si>
    <t>Agoda</t>
  </si>
  <si>
    <t>Rentalcars.com</t>
  </si>
  <si>
    <t>OpenTable</t>
  </si>
  <si>
    <t>Travel brands</t>
  </si>
  <si>
    <t>Founded</t>
  </si>
  <si>
    <t>AI-driven OTA leader</t>
  </si>
  <si>
    <t>Fintech &amp; payments expansion</t>
  </si>
  <si>
    <t>Alt. stays &gt;35% of listings</t>
  </si>
  <si>
    <t>Strong FCF &amp; buybacks</t>
  </si>
  <si>
    <t>Cross-border travel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</si>
</sst>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FECF-08B2-4512-8C7A-66C925108AE1}">
  <dimension ref="B3:K16"/>
  <sheetViews>
    <sheetView zoomScaleNormal="100" workbookViewId="0">
      <selection activeCell="C27" sqref="C27"/>
    </sheetView>
  </sheetViews>
  <sheetFormatPr defaultRowHeight="12.75" x14ac:dyDescent="0.2"/>
  <cols>
    <col min="2" max="2" width="12.7109375" customWidth="1"/>
  </cols>
  <sheetData>
    <row r="3" spans="2:11" x14ac:dyDescent="0.2">
      <c r="B3" s="8" t="s">
        <v>45</v>
      </c>
      <c r="I3" t="s">
        <v>0</v>
      </c>
      <c r="J3" s="1">
        <v>4614</v>
      </c>
    </row>
    <row r="4" spans="2:11" x14ac:dyDescent="0.2">
      <c r="B4" t="s">
        <v>39</v>
      </c>
      <c r="I4" t="s">
        <v>1</v>
      </c>
      <c r="J4" s="2">
        <v>32.815201000000002</v>
      </c>
      <c r="K4" s="3" t="s">
        <v>6</v>
      </c>
    </row>
    <row r="5" spans="2:11" x14ac:dyDescent="0.2">
      <c r="B5" t="s">
        <v>40</v>
      </c>
      <c r="I5" t="s">
        <v>2</v>
      </c>
      <c r="J5" s="2">
        <f>+J3*J4</f>
        <v>151409.33741400001</v>
      </c>
    </row>
    <row r="6" spans="2:11" x14ac:dyDescent="0.2">
      <c r="B6" t="s">
        <v>41</v>
      </c>
      <c r="I6" t="s">
        <v>3</v>
      </c>
      <c r="J6" s="2">
        <f>16164+536</f>
        <v>16700</v>
      </c>
      <c r="K6" s="3" t="s">
        <v>6</v>
      </c>
    </row>
    <row r="7" spans="2:11" x14ac:dyDescent="0.2">
      <c r="B7" t="s">
        <v>42</v>
      </c>
      <c r="I7" t="s">
        <v>4</v>
      </c>
      <c r="J7" s="2">
        <f>1745+14853</f>
        <v>16598</v>
      </c>
      <c r="K7" s="3" t="s">
        <v>6</v>
      </c>
    </row>
    <row r="8" spans="2:11" x14ac:dyDescent="0.2">
      <c r="B8" t="s">
        <v>43</v>
      </c>
      <c r="I8" t="s">
        <v>5</v>
      </c>
      <c r="J8" s="2">
        <f>+J5-J6+J7</f>
        <v>151307.33741400001</v>
      </c>
    </row>
    <row r="9" spans="2:11" x14ac:dyDescent="0.2">
      <c r="B9" t="s">
        <v>44</v>
      </c>
    </row>
    <row r="10" spans="2:11" x14ac:dyDescent="0.2">
      <c r="I10" t="s">
        <v>46</v>
      </c>
      <c r="J10">
        <v>1997</v>
      </c>
    </row>
    <row r="12" spans="2:11" x14ac:dyDescent="0.2">
      <c r="B12" t="s">
        <v>47</v>
      </c>
    </row>
    <row r="13" spans="2:11" x14ac:dyDescent="0.2">
      <c r="B13" t="s">
        <v>48</v>
      </c>
    </row>
    <row r="14" spans="2:11" x14ac:dyDescent="0.2">
      <c r="B14" t="s">
        <v>49</v>
      </c>
    </row>
    <row r="15" spans="2:11" x14ac:dyDescent="0.2">
      <c r="B15" t="s">
        <v>50</v>
      </c>
    </row>
    <row r="16" spans="2:11" x14ac:dyDescent="0.2">
      <c r="B16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1322-D9E9-466F-8666-BB544C31B73F}">
  <dimension ref="A1:U33"/>
  <sheetViews>
    <sheetView tabSelected="1" zoomScaleNormal="1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V44" sqref="V44"/>
    </sheetView>
  </sheetViews>
  <sheetFormatPr defaultRowHeight="12.75" x14ac:dyDescent="0.2"/>
  <cols>
    <col min="1" max="1" width="5" bestFit="1" customWidth="1"/>
    <col min="2" max="2" width="17.42578125" customWidth="1"/>
    <col min="3" max="10" width="9.140625" style="3"/>
  </cols>
  <sheetData>
    <row r="1" spans="1:21" x14ac:dyDescent="0.2">
      <c r="A1" t="s">
        <v>7</v>
      </c>
    </row>
    <row r="2" spans="1:2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L2">
        <v>2016</v>
      </c>
      <c r="M2">
        <v>2017</v>
      </c>
      <c r="N2">
        <v>2018</v>
      </c>
      <c r="O2">
        <v>2019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</row>
    <row r="3" spans="1:21" s="2" customFormat="1" x14ac:dyDescent="0.2">
      <c r="B3" s="2" t="s">
        <v>8</v>
      </c>
      <c r="C3" s="4">
        <v>274</v>
      </c>
      <c r="D3" s="4">
        <v>268</v>
      </c>
      <c r="E3" s="4">
        <v>276</v>
      </c>
      <c r="F3" s="4">
        <v>231</v>
      </c>
      <c r="G3" s="4">
        <v>297</v>
      </c>
      <c r="H3" s="4">
        <v>287</v>
      </c>
      <c r="I3" s="4">
        <v>299</v>
      </c>
      <c r="J3" s="4">
        <v>261</v>
      </c>
      <c r="S3" s="2">
        <f>SUM(C3:F3)</f>
        <v>1049</v>
      </c>
      <c r="T3" s="2">
        <f>SUM(G3:J3)</f>
        <v>1144</v>
      </c>
    </row>
    <row r="6" spans="1:21" s="2" customFormat="1" x14ac:dyDescent="0.2">
      <c r="B6" s="2" t="s">
        <v>18</v>
      </c>
      <c r="C6" s="4"/>
      <c r="D6" s="4"/>
      <c r="E6" s="4"/>
      <c r="F6" s="4"/>
      <c r="G6" s="4"/>
      <c r="H6" s="4"/>
      <c r="I6" s="4"/>
      <c r="J6" s="4"/>
      <c r="S6" s="2">
        <v>81721</v>
      </c>
      <c r="T6" s="2">
        <v>104182</v>
      </c>
    </row>
    <row r="7" spans="1:21" s="2" customFormat="1" x14ac:dyDescent="0.2">
      <c r="B7" s="2" t="s">
        <v>17</v>
      </c>
      <c r="C7" s="4"/>
      <c r="D7" s="4"/>
      <c r="E7" s="4"/>
      <c r="F7" s="4"/>
      <c r="G7" s="4"/>
      <c r="H7" s="4"/>
      <c r="I7" s="4"/>
      <c r="J7" s="4"/>
      <c r="S7" s="2">
        <v>68906</v>
      </c>
      <c r="T7" s="2">
        <v>61398</v>
      </c>
    </row>
    <row r="8" spans="1:21" s="2" customFormat="1" x14ac:dyDescent="0.2">
      <c r="B8" s="2" t="s">
        <v>16</v>
      </c>
      <c r="C8" s="4"/>
      <c r="D8" s="4"/>
      <c r="E8" s="4"/>
      <c r="F8" s="4"/>
      <c r="G8" s="4"/>
      <c r="H8" s="4"/>
      <c r="I8" s="4"/>
      <c r="J8" s="4"/>
      <c r="S8" s="2">
        <f>+S6+S7</f>
        <v>150627</v>
      </c>
      <c r="T8" s="2">
        <f>+T6+T7</f>
        <v>165580</v>
      </c>
    </row>
    <row r="9" spans="1:21" s="2" customFormat="1" x14ac:dyDescent="0.2">
      <c r="C9" s="4"/>
      <c r="D9" s="4"/>
      <c r="E9" s="4"/>
      <c r="F9" s="4"/>
      <c r="G9" s="4"/>
      <c r="H9" s="4"/>
      <c r="I9" s="4"/>
      <c r="J9" s="4"/>
      <c r="S9" s="7">
        <f t="shared" ref="S9" si="0">+S14/S8</f>
        <v>0.14184044029290899</v>
      </c>
      <c r="T9" s="7">
        <f>+T14/T8</f>
        <v>0.14336876434351975</v>
      </c>
    </row>
    <row r="10" spans="1:21" s="2" customFormat="1" x14ac:dyDescent="0.2">
      <c r="C10" s="4"/>
      <c r="D10" s="4"/>
      <c r="E10" s="4"/>
      <c r="F10" s="4"/>
      <c r="G10" s="4"/>
      <c r="H10" s="4"/>
      <c r="I10" s="4"/>
      <c r="J10" s="4"/>
    </row>
    <row r="11" spans="1:21" s="2" customFormat="1" x14ac:dyDescent="0.2">
      <c r="B11" s="2" t="s">
        <v>19</v>
      </c>
      <c r="C11" s="4"/>
      <c r="D11" s="4"/>
      <c r="E11" s="4"/>
      <c r="F11" s="4"/>
      <c r="G11" s="4"/>
      <c r="H11" s="4"/>
      <c r="I11" s="4"/>
      <c r="J11" s="4"/>
      <c r="L11" s="2">
        <v>2048</v>
      </c>
      <c r="M11" s="2">
        <v>2133</v>
      </c>
      <c r="N11" s="2">
        <v>2987</v>
      </c>
      <c r="O11" s="2">
        <v>3830</v>
      </c>
      <c r="P11" s="2">
        <v>4314</v>
      </c>
      <c r="Q11" s="2">
        <v>6663</v>
      </c>
      <c r="R11" s="2">
        <v>7193</v>
      </c>
      <c r="S11" s="2">
        <v>10936</v>
      </c>
      <c r="T11" s="2">
        <v>14142</v>
      </c>
    </row>
    <row r="12" spans="1:21" s="2" customFormat="1" x14ac:dyDescent="0.2">
      <c r="B12" s="2" t="s">
        <v>20</v>
      </c>
      <c r="C12" s="4"/>
      <c r="D12" s="4"/>
      <c r="E12" s="4"/>
      <c r="F12" s="4"/>
      <c r="G12" s="4"/>
      <c r="H12" s="4"/>
      <c r="I12" s="4"/>
      <c r="J12" s="4"/>
      <c r="L12" s="2">
        <v>7982</v>
      </c>
      <c r="M12" s="2">
        <v>9714</v>
      </c>
      <c r="N12" s="2">
        <v>10480</v>
      </c>
      <c r="O12" s="2">
        <v>10117</v>
      </c>
      <c r="P12" s="2">
        <v>2117</v>
      </c>
      <c r="Q12" s="2">
        <v>3696</v>
      </c>
      <c r="R12" s="2">
        <v>9003</v>
      </c>
      <c r="S12" s="2">
        <v>9414</v>
      </c>
      <c r="T12" s="2">
        <v>8524</v>
      </c>
    </row>
    <row r="13" spans="1:21" s="2" customFormat="1" x14ac:dyDescent="0.2">
      <c r="B13" s="2" t="s">
        <v>21</v>
      </c>
      <c r="C13" s="4"/>
      <c r="D13" s="4"/>
      <c r="E13" s="4"/>
      <c r="F13" s="4"/>
      <c r="G13" s="4"/>
      <c r="H13" s="4"/>
      <c r="I13" s="4"/>
      <c r="J13" s="4"/>
      <c r="L13" s="2">
        <v>713</v>
      </c>
      <c r="M13" s="2">
        <v>834</v>
      </c>
      <c r="N13" s="2">
        <v>1060</v>
      </c>
      <c r="O13" s="2">
        <v>1119</v>
      </c>
      <c r="P13" s="2">
        <v>365</v>
      </c>
      <c r="Q13" s="2">
        <v>599</v>
      </c>
      <c r="R13" s="2">
        <v>894</v>
      </c>
      <c r="S13" s="2">
        <v>1015</v>
      </c>
      <c r="T13" s="2">
        <v>1073</v>
      </c>
    </row>
    <row r="14" spans="1:21" s="5" customFormat="1" x14ac:dyDescent="0.2">
      <c r="B14" s="5" t="s">
        <v>22</v>
      </c>
      <c r="C14" s="6"/>
      <c r="D14" s="6"/>
      <c r="E14" s="6"/>
      <c r="F14" s="6"/>
      <c r="G14" s="6"/>
      <c r="H14" s="6"/>
      <c r="I14" s="6"/>
      <c r="J14" s="6"/>
      <c r="L14" s="5">
        <f t="shared" ref="L14:M14" si="1">+L13+L12+L11</f>
        <v>10743</v>
      </c>
      <c r="M14" s="5">
        <f t="shared" si="1"/>
        <v>12681</v>
      </c>
      <c r="N14" s="5">
        <f>+N13+N12+N11</f>
        <v>14527</v>
      </c>
      <c r="O14" s="5">
        <f>+O13+O12+O11</f>
        <v>15066</v>
      </c>
      <c r="P14" s="5">
        <f t="shared" ref="P14:Q14" si="2">SUM(P11:P13)</f>
        <v>6796</v>
      </c>
      <c r="Q14" s="5">
        <f t="shared" si="2"/>
        <v>10958</v>
      </c>
      <c r="R14" s="5">
        <f>SUM(R11:R13)</f>
        <v>17090</v>
      </c>
      <c r="S14" s="5">
        <f>SUM(S11:S13)</f>
        <v>21365</v>
      </c>
      <c r="T14" s="5">
        <f>SUM(T11:T13)</f>
        <v>23739</v>
      </c>
      <c r="U14" s="5">
        <f>+T14*1.05</f>
        <v>24925.95</v>
      </c>
    </row>
    <row r="15" spans="1:21" x14ac:dyDescent="0.2">
      <c r="B15" s="2" t="s">
        <v>26</v>
      </c>
      <c r="P15" s="2">
        <f>2179+755</f>
        <v>2934</v>
      </c>
      <c r="Q15" s="2">
        <f>3801+881</f>
        <v>4682</v>
      </c>
      <c r="R15" s="2">
        <f>5993+1986</f>
        <v>7979</v>
      </c>
      <c r="S15" s="2">
        <f>6773+2744</f>
        <v>9517</v>
      </c>
      <c r="T15" s="2">
        <f>7278+3120</f>
        <v>10398</v>
      </c>
      <c r="U15" s="2">
        <f>+T15*1.03</f>
        <v>10709.94</v>
      </c>
    </row>
    <row r="16" spans="1:21" x14ac:dyDescent="0.2">
      <c r="B16" s="2" t="s">
        <v>25</v>
      </c>
      <c r="P16" s="2">
        <v>1944</v>
      </c>
      <c r="Q16" s="2">
        <v>2314</v>
      </c>
      <c r="R16" s="2">
        <v>2465</v>
      </c>
      <c r="S16" s="2">
        <v>3294</v>
      </c>
      <c r="T16" s="2">
        <v>3354</v>
      </c>
      <c r="U16" s="2">
        <v>3354</v>
      </c>
    </row>
    <row r="17" spans="2:21" x14ac:dyDescent="0.2">
      <c r="B17" t="s">
        <v>24</v>
      </c>
      <c r="P17" s="2">
        <v>581</v>
      </c>
      <c r="Q17" s="2">
        <v>620</v>
      </c>
      <c r="R17" s="2">
        <v>766</v>
      </c>
      <c r="S17" s="2">
        <v>1555</v>
      </c>
      <c r="T17" s="2">
        <v>1036</v>
      </c>
      <c r="U17" s="2">
        <v>1036</v>
      </c>
    </row>
    <row r="18" spans="2:21" x14ac:dyDescent="0.2">
      <c r="B18" t="s">
        <v>23</v>
      </c>
      <c r="P18" s="2">
        <v>299</v>
      </c>
      <c r="Q18" s="2">
        <v>412</v>
      </c>
      <c r="R18" s="2">
        <v>526</v>
      </c>
      <c r="S18" s="2">
        <v>655</v>
      </c>
      <c r="T18" s="2">
        <v>771</v>
      </c>
      <c r="U18" s="2">
        <v>771</v>
      </c>
    </row>
    <row r="19" spans="2:21" x14ac:dyDescent="0.2">
      <c r="B19" t="s">
        <v>27</v>
      </c>
      <c r="P19" s="2">
        <f t="shared" ref="P19" si="3">SUM(P15:P18)</f>
        <v>5758</v>
      </c>
      <c r="Q19" s="2">
        <f t="shared" ref="Q19" si="4">SUM(Q15:Q18)</f>
        <v>8028</v>
      </c>
      <c r="R19" s="2">
        <f t="shared" ref="R19:S19" si="5">SUM(R15:R18)</f>
        <v>11736</v>
      </c>
      <c r="S19" s="2">
        <f t="shared" si="5"/>
        <v>15021</v>
      </c>
      <c r="T19" s="2">
        <f>SUM(T15:T18)</f>
        <v>15559</v>
      </c>
      <c r="U19" s="2">
        <f t="shared" ref="U19" si="6">SUM(U15:U18)</f>
        <v>15870.94</v>
      </c>
    </row>
    <row r="20" spans="2:21" x14ac:dyDescent="0.2">
      <c r="B20" t="s">
        <v>28</v>
      </c>
      <c r="P20" s="2">
        <f t="shared" ref="P20" si="7">+P14-P19</f>
        <v>1038</v>
      </c>
      <c r="Q20" s="2">
        <f t="shared" ref="Q20" si="8">+Q14-Q19</f>
        <v>2930</v>
      </c>
      <c r="R20" s="2">
        <f t="shared" ref="R20:S20" si="9">+R14-R19</f>
        <v>5354</v>
      </c>
      <c r="S20" s="2">
        <f t="shared" si="9"/>
        <v>6344</v>
      </c>
      <c r="T20" s="2">
        <f>+T14-T19</f>
        <v>8180</v>
      </c>
      <c r="U20" s="2">
        <f t="shared" ref="U20" si="10">+U14-U19</f>
        <v>9055.01</v>
      </c>
    </row>
    <row r="21" spans="2:21" x14ac:dyDescent="0.2">
      <c r="B21" t="s">
        <v>30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2:21" x14ac:dyDescent="0.2">
      <c r="B22" t="s">
        <v>31</v>
      </c>
      <c r="P22" s="2">
        <f t="shared" ref="P22" si="11">+P20+P21</f>
        <v>1038</v>
      </c>
      <c r="Q22" s="2">
        <f t="shared" ref="Q22" si="12">+Q20+Q21</f>
        <v>2930</v>
      </c>
      <c r="R22" s="2">
        <f t="shared" ref="R22:S22" si="13">+R20+R21</f>
        <v>5354</v>
      </c>
      <c r="S22" s="2">
        <f t="shared" si="13"/>
        <v>6344</v>
      </c>
      <c r="T22" s="2">
        <f>+T20+T21</f>
        <v>8180</v>
      </c>
      <c r="U22" s="2">
        <f t="shared" ref="U22" si="14">+U20+U21</f>
        <v>9055.01</v>
      </c>
    </row>
    <row r="23" spans="2:21" x14ac:dyDescent="0.2">
      <c r="B23" t="s">
        <v>32</v>
      </c>
      <c r="P23" s="2">
        <v>508</v>
      </c>
      <c r="Q23" s="2">
        <v>300</v>
      </c>
      <c r="R23" s="2">
        <v>865</v>
      </c>
      <c r="S23" s="2">
        <v>1192</v>
      </c>
      <c r="T23" s="2">
        <v>1410</v>
      </c>
      <c r="U23" s="2">
        <f>+U22*0.2</f>
        <v>1811.0020000000002</v>
      </c>
    </row>
    <row r="24" spans="2:21" x14ac:dyDescent="0.2">
      <c r="B24" t="s">
        <v>33</v>
      </c>
      <c r="P24" s="2">
        <f t="shared" ref="P24" si="15">+P22-P23</f>
        <v>530</v>
      </c>
      <c r="Q24" s="2">
        <f t="shared" ref="Q24" si="16">+Q22-Q23</f>
        <v>2630</v>
      </c>
      <c r="R24" s="2">
        <f t="shared" ref="R24:S24" si="17">+R22-R23</f>
        <v>4489</v>
      </c>
      <c r="S24" s="2">
        <f t="shared" si="17"/>
        <v>5152</v>
      </c>
      <c r="T24" s="2">
        <f>+T22-T23</f>
        <v>6770</v>
      </c>
      <c r="U24" s="2">
        <f t="shared" ref="U24" si="18">+U22-U23</f>
        <v>7244.0079999999998</v>
      </c>
    </row>
    <row r="25" spans="2:21" x14ac:dyDescent="0.2">
      <c r="B25" t="s">
        <v>34</v>
      </c>
      <c r="P25" s="1">
        <f t="shared" ref="P25:Q25" si="19">+P24/P26</f>
        <v>12.876579203109817</v>
      </c>
      <c r="Q25" s="1">
        <f t="shared" si="19"/>
        <v>63.584933030317679</v>
      </c>
      <c r="R25" s="1">
        <f>+R24/R26</f>
        <v>112.07929691401179</v>
      </c>
      <c r="S25" s="1">
        <f>+S24/S26</f>
        <v>141.03476594579797</v>
      </c>
      <c r="T25" s="1">
        <f>+T24/T26</f>
        <v>198.74354156881165</v>
      </c>
      <c r="U25" s="1">
        <f t="shared" ref="U25" si="20">+U24/U26</f>
        <v>212.65875998121183</v>
      </c>
    </row>
    <row r="26" spans="2:21" x14ac:dyDescent="0.2">
      <c r="B26" t="s">
        <v>1</v>
      </c>
      <c r="P26" s="2">
        <v>41.16</v>
      </c>
      <c r="Q26" s="2">
        <v>41.362000000000002</v>
      </c>
      <c r="R26" s="2">
        <v>40.052</v>
      </c>
      <c r="S26" s="2">
        <v>36.53</v>
      </c>
      <c r="T26" s="2">
        <v>34.064</v>
      </c>
      <c r="U26" s="2">
        <v>34.064</v>
      </c>
    </row>
    <row r="28" spans="2:21" x14ac:dyDescent="0.2">
      <c r="B28" t="s">
        <v>38</v>
      </c>
      <c r="M28" s="7">
        <f t="shared" ref="M28:P28" si="21">M14/L14-1</f>
        <v>0.18039653728008931</v>
      </c>
      <c r="N28" s="7">
        <f t="shared" si="21"/>
        <v>0.14557211576374107</v>
      </c>
      <c r="O28" s="7">
        <f t="shared" si="21"/>
        <v>3.7103324843394958E-2</v>
      </c>
      <c r="P28" s="7">
        <f t="shared" si="21"/>
        <v>-0.54891809372096112</v>
      </c>
      <c r="Q28" s="7">
        <f>Q14/P14-1</f>
        <v>0.61241907004120066</v>
      </c>
      <c r="R28" s="7">
        <f t="shared" ref="R28:U28" si="22">R14/Q14-1</f>
        <v>0.55959116627121741</v>
      </c>
      <c r="S28" s="7">
        <f>S14/R14-1</f>
        <v>0.25014628437682851</v>
      </c>
      <c r="T28" s="7">
        <f t="shared" si="22"/>
        <v>0.11111631172478353</v>
      </c>
      <c r="U28" s="7">
        <f t="shared" si="22"/>
        <v>5.0000000000000044E-2</v>
      </c>
    </row>
    <row r="29" spans="2:21" x14ac:dyDescent="0.2">
      <c r="B29" t="s">
        <v>29</v>
      </c>
      <c r="S29" s="7">
        <f>+S20/S14</f>
        <v>0.29693423824011234</v>
      </c>
      <c r="T29" s="7">
        <f>+T20/T14</f>
        <v>0.34458064787901765</v>
      </c>
      <c r="U29" s="7">
        <f>+U20/U14</f>
        <v>0.36327642477016925</v>
      </c>
    </row>
    <row r="31" spans="2:21" s="2" customFormat="1" x14ac:dyDescent="0.2">
      <c r="B31" s="2" t="s">
        <v>37</v>
      </c>
      <c r="C31" s="4"/>
      <c r="D31" s="4"/>
      <c r="E31" s="4"/>
      <c r="F31" s="4"/>
      <c r="G31" s="4"/>
      <c r="H31" s="4"/>
      <c r="I31" s="4"/>
      <c r="J31" s="4"/>
      <c r="P31" s="2">
        <v>85</v>
      </c>
      <c r="Q31" s="2">
        <v>2820</v>
      </c>
      <c r="R31" s="2">
        <v>6554</v>
      </c>
      <c r="S31" s="2">
        <v>7344</v>
      </c>
      <c r="T31" s="2">
        <v>8323</v>
      </c>
    </row>
    <row r="32" spans="2:21" s="2" customFormat="1" x14ac:dyDescent="0.2">
      <c r="B32" s="2" t="s">
        <v>36</v>
      </c>
      <c r="C32" s="4"/>
      <c r="D32" s="4"/>
      <c r="E32" s="4"/>
      <c r="F32" s="4"/>
      <c r="G32" s="4"/>
      <c r="H32" s="4"/>
      <c r="I32" s="4"/>
      <c r="J32" s="4"/>
      <c r="P32" s="2">
        <v>286</v>
      </c>
      <c r="Q32" s="2">
        <v>304</v>
      </c>
      <c r="R32" s="2">
        <v>368</v>
      </c>
      <c r="S32" s="2">
        <v>345</v>
      </c>
      <c r="T32" s="2">
        <v>429</v>
      </c>
    </row>
    <row r="33" spans="2:20" s="2" customFormat="1" x14ac:dyDescent="0.2">
      <c r="B33" s="2" t="s">
        <v>35</v>
      </c>
      <c r="C33" s="4"/>
      <c r="D33" s="4"/>
      <c r="E33" s="4"/>
      <c r="F33" s="4"/>
      <c r="G33" s="4"/>
      <c r="H33" s="4"/>
      <c r="I33" s="4"/>
      <c r="J33" s="4"/>
      <c r="P33" s="2">
        <f>+P31-P32</f>
        <v>-201</v>
      </c>
      <c r="Q33" s="2">
        <f>+Q31-Q32</f>
        <v>2516</v>
      </c>
      <c r="R33" s="2">
        <f>+R31-R32</f>
        <v>6186</v>
      </c>
      <c r="S33" s="2">
        <f>+S31-S32</f>
        <v>6999</v>
      </c>
      <c r="T33" s="2">
        <f>+T31-T32</f>
        <v>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2025-04-14T18:25:27Z</dcterms:created>
  <dcterms:modified xsi:type="dcterms:W3CDTF">2025-10-08T10:59:53Z</dcterms:modified>
</cp:coreProperties>
</file>