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aben\Downloads\"/>
    </mc:Choice>
  </mc:AlternateContent>
  <xr:revisionPtr revIDLastSave="0" documentId="8_{7E70C7E3-BFC8-4E47-9D31-8D7C383A5E14}" xr6:coauthVersionLast="47" xr6:coauthVersionMax="47" xr10:uidLastSave="{00000000-0000-0000-0000-000000000000}"/>
  <bookViews>
    <workbookView xWindow="4065" yWindow="4065" windowWidth="18075" windowHeight="16020" activeTab="1" xr2:uid="{1BF85698-114A-4BE1-B3D4-7C2AB7881FB9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4" i="2" l="1"/>
  <c r="W4" i="2" s="1"/>
  <c r="X4" i="2" s="1"/>
  <c r="Y4" i="2" s="1"/>
  <c r="Z4" i="2" s="1"/>
  <c r="V7" i="2"/>
  <c r="W7" i="2" s="1"/>
  <c r="X7" i="2" s="1"/>
  <c r="Y7" i="2" s="1"/>
  <c r="Z7" i="2" s="1"/>
  <c r="AA7" i="2" s="1"/>
  <c r="AB7" i="2" s="1"/>
  <c r="AC7" i="2" s="1"/>
  <c r="AD7" i="2" s="1"/>
  <c r="V8" i="2"/>
  <c r="V9" i="2"/>
  <c r="W9" i="2" s="1"/>
  <c r="X9" i="2" s="1"/>
  <c r="Y9" i="2" s="1"/>
  <c r="Z9" i="2" s="1"/>
  <c r="AA9" i="2" s="1"/>
  <c r="AB9" i="2" s="1"/>
  <c r="AD17" i="2"/>
  <c r="AE17" i="2" s="1"/>
  <c r="AF17" i="2" s="1"/>
  <c r="AE12" i="2"/>
  <c r="AF12" i="2" s="1"/>
  <c r="AD12" i="2"/>
  <c r="AB17" i="2"/>
  <c r="AC17" i="2" s="1"/>
  <c r="AB12" i="2"/>
  <c r="AC12" i="2" s="1"/>
  <c r="AB8" i="2"/>
  <c r="AC8" i="2" s="1"/>
  <c r="AD8" i="2" s="1"/>
  <c r="AE8" i="2" s="1"/>
  <c r="AF8" i="2" s="1"/>
  <c r="W8" i="2"/>
  <c r="X8" i="2" s="1"/>
  <c r="Y8" i="2" s="1"/>
  <c r="Z8" i="2" s="1"/>
  <c r="AA8" i="2" s="1"/>
  <c r="V6" i="2"/>
  <c r="V5" i="2" s="1"/>
  <c r="U9" i="2"/>
  <c r="U8" i="2"/>
  <c r="U7" i="2"/>
  <c r="U5" i="2"/>
  <c r="W17" i="2"/>
  <c r="X17" i="2" s="1"/>
  <c r="Y17" i="2" s="1"/>
  <c r="Z17" i="2" s="1"/>
  <c r="AA17" i="2" s="1"/>
  <c r="V17" i="2"/>
  <c r="AA12" i="2"/>
  <c r="Z12" i="2"/>
  <c r="Y12" i="2"/>
  <c r="X12" i="2"/>
  <c r="W12" i="2"/>
  <c r="V12" i="2"/>
  <c r="R20" i="2"/>
  <c r="S20" i="2"/>
  <c r="T20" i="2"/>
  <c r="U20" i="2"/>
  <c r="S19" i="2"/>
  <c r="R14" i="2"/>
  <c r="R12" i="2"/>
  <c r="R10" i="2"/>
  <c r="R11" i="2" s="1"/>
  <c r="R6" i="2"/>
  <c r="G19" i="2"/>
  <c r="C14" i="2"/>
  <c r="C10" i="2"/>
  <c r="C6" i="2"/>
  <c r="H19" i="2"/>
  <c r="D14" i="2"/>
  <c r="D10" i="2"/>
  <c r="D6" i="2"/>
  <c r="J25" i="2"/>
  <c r="T19" i="2"/>
  <c r="S14" i="2"/>
  <c r="S10" i="2"/>
  <c r="S6" i="2"/>
  <c r="V2" i="2"/>
  <c r="U17" i="2"/>
  <c r="U12" i="2"/>
  <c r="U10" i="2"/>
  <c r="T14" i="2"/>
  <c r="T10" i="2"/>
  <c r="T6" i="2"/>
  <c r="T11" i="2" s="1"/>
  <c r="T13" i="2" s="1"/>
  <c r="T15" i="2" s="1"/>
  <c r="T16" i="2" s="1"/>
  <c r="U4" i="2"/>
  <c r="U6" i="2" s="1"/>
  <c r="U3" i="2"/>
  <c r="V3" i="2" s="1"/>
  <c r="W3" i="2" s="1"/>
  <c r="X3" i="2" s="1"/>
  <c r="Y3" i="2" s="1"/>
  <c r="Z3" i="2" s="1"/>
  <c r="AA3" i="2" s="1"/>
  <c r="AB3" i="2" s="1"/>
  <c r="AC3" i="2" s="1"/>
  <c r="AD3" i="2" s="1"/>
  <c r="AE3" i="2" s="1"/>
  <c r="AF3" i="2" s="1"/>
  <c r="AG3" i="2" s="1"/>
  <c r="AH3" i="2" s="1"/>
  <c r="M2" i="2"/>
  <c r="M19" i="2"/>
  <c r="E14" i="2"/>
  <c r="E10" i="2"/>
  <c r="E6" i="2"/>
  <c r="I19" i="2"/>
  <c r="I14" i="2"/>
  <c r="I10" i="2"/>
  <c r="I6" i="2"/>
  <c r="F14" i="2"/>
  <c r="F10" i="2"/>
  <c r="F6" i="2"/>
  <c r="J19" i="2"/>
  <c r="J10" i="2"/>
  <c r="J6" i="2"/>
  <c r="H14" i="2"/>
  <c r="H6" i="2"/>
  <c r="L14" i="2"/>
  <c r="L19" i="2"/>
  <c r="L10" i="2"/>
  <c r="L6" i="2"/>
  <c r="L11" i="2" s="1"/>
  <c r="L13" i="2" s="1"/>
  <c r="L15" i="2" s="1"/>
  <c r="L16" i="2" s="1"/>
  <c r="K19" i="2"/>
  <c r="G14" i="2"/>
  <c r="U14" i="2" s="1"/>
  <c r="K14" i="2"/>
  <c r="H10" i="2"/>
  <c r="G10" i="2"/>
  <c r="K10" i="2"/>
  <c r="G6" i="2"/>
  <c r="K6" i="2"/>
  <c r="M7" i="1"/>
  <c r="M5" i="1"/>
  <c r="M4" i="1"/>
  <c r="M3" i="1"/>
  <c r="V19" i="2" l="1"/>
  <c r="AB10" i="2"/>
  <c r="AE7" i="2"/>
  <c r="AC9" i="2"/>
  <c r="AA4" i="2"/>
  <c r="AB4" i="2" s="1"/>
  <c r="AB6" i="2" s="1"/>
  <c r="W19" i="2"/>
  <c r="X19" i="2"/>
  <c r="X6" i="2"/>
  <c r="X20" i="2" s="1"/>
  <c r="W6" i="2"/>
  <c r="W5" i="2" s="1"/>
  <c r="V20" i="2"/>
  <c r="V10" i="2"/>
  <c r="V11" i="2" s="1"/>
  <c r="V13" i="2" s="1"/>
  <c r="U11" i="2"/>
  <c r="U13" i="2" s="1"/>
  <c r="U15" i="2" s="1"/>
  <c r="U16" i="2" s="1"/>
  <c r="U19" i="2"/>
  <c r="R13" i="2"/>
  <c r="R15" i="2" s="1"/>
  <c r="R16" i="2" s="1"/>
  <c r="C11" i="2"/>
  <c r="C13" i="2" s="1"/>
  <c r="C15" i="2" s="1"/>
  <c r="C16" i="2" s="1"/>
  <c r="D11" i="2"/>
  <c r="D13" i="2" s="1"/>
  <c r="D15" i="2" s="1"/>
  <c r="D16" i="2" s="1"/>
  <c r="S11" i="2"/>
  <c r="S13" i="2" s="1"/>
  <c r="S15" i="2" s="1"/>
  <c r="S16" i="2" s="1"/>
  <c r="K11" i="2"/>
  <c r="K13" i="2" s="1"/>
  <c r="K15" i="2" s="1"/>
  <c r="K16" i="2" s="1"/>
  <c r="G11" i="2"/>
  <c r="G13" i="2" s="1"/>
  <c r="G15" i="2" s="1"/>
  <c r="G16" i="2" s="1"/>
  <c r="E11" i="2"/>
  <c r="E13" i="2" s="1"/>
  <c r="E15" i="2" s="1"/>
  <c r="E16" i="2" s="1"/>
  <c r="I11" i="2"/>
  <c r="I13" i="2" s="1"/>
  <c r="I15" i="2" s="1"/>
  <c r="I16" i="2" s="1"/>
  <c r="F11" i="2"/>
  <c r="F13" i="2" s="1"/>
  <c r="F15" i="2" s="1"/>
  <c r="F16" i="2" s="1"/>
  <c r="J11" i="2"/>
  <c r="J13" i="2" s="1"/>
  <c r="J15" i="2" s="1"/>
  <c r="J16" i="2" s="1"/>
  <c r="H11" i="2"/>
  <c r="H13" i="2" s="1"/>
  <c r="H15" i="2" s="1"/>
  <c r="H16" i="2" s="1"/>
  <c r="AB19" i="2" l="1"/>
  <c r="AC4" i="2"/>
  <c r="AD4" i="2" s="1"/>
  <c r="AC10" i="2"/>
  <c r="AD9" i="2"/>
  <c r="AF7" i="2"/>
  <c r="AB20" i="2"/>
  <c r="AB11" i="2"/>
  <c r="AB13" i="2" s="1"/>
  <c r="AB5" i="2"/>
  <c r="AC19" i="2"/>
  <c r="AC6" i="2"/>
  <c r="AC5" i="2" s="1"/>
  <c r="X5" i="2"/>
  <c r="W20" i="2"/>
  <c r="V14" i="2"/>
  <c r="V15" i="2" s="1"/>
  <c r="X10" i="2"/>
  <c r="W10" i="2"/>
  <c r="AD6" i="2" l="1"/>
  <c r="AD20" i="2" s="1"/>
  <c r="AD19" i="2"/>
  <c r="AE4" i="2"/>
  <c r="AD5" i="2"/>
  <c r="AE9" i="2"/>
  <c r="AD10" i="2"/>
  <c r="AD11" i="2" s="1"/>
  <c r="AD13" i="2" s="1"/>
  <c r="AC20" i="2"/>
  <c r="AC11" i="2"/>
  <c r="AC13" i="2" s="1"/>
  <c r="AB14" i="2"/>
  <c r="AB15" i="2" s="1"/>
  <c r="AB16" i="2" s="1"/>
  <c r="V16" i="2"/>
  <c r="V22" i="2"/>
  <c r="W11" i="2"/>
  <c r="W13" i="2" s="1"/>
  <c r="Y10" i="2"/>
  <c r="X11" i="2"/>
  <c r="X13" i="2" s="1"/>
  <c r="AF4" i="2" l="1"/>
  <c r="AE6" i="2"/>
  <c r="AE20" i="2" s="1"/>
  <c r="AE19" i="2"/>
  <c r="AD14" i="2"/>
  <c r="AD15" i="2" s="1"/>
  <c r="AD16" i="2" s="1"/>
  <c r="AF9" i="2"/>
  <c r="AF10" i="2" s="1"/>
  <c r="AE10" i="2"/>
  <c r="AE11" i="2" s="1"/>
  <c r="AE13" i="2" s="1"/>
  <c r="AE14" i="2" s="1"/>
  <c r="AE15" i="2" s="1"/>
  <c r="AE16" i="2" s="1"/>
  <c r="AC14" i="2"/>
  <c r="AC15" i="2" s="1"/>
  <c r="AC16" i="2" s="1"/>
  <c r="X14" i="2"/>
  <c r="X15" i="2" s="1"/>
  <c r="X16" i="2" s="1"/>
  <c r="W14" i="2"/>
  <c r="W15" i="2" s="1"/>
  <c r="Y6" i="2"/>
  <c r="Y11" i="2" s="1"/>
  <c r="Y13" i="2" s="1"/>
  <c r="Y19" i="2"/>
  <c r="AA10" i="2"/>
  <c r="Z10" i="2"/>
  <c r="AE5" i="2" l="1"/>
  <c r="AF19" i="2"/>
  <c r="AF6" i="2"/>
  <c r="AF20" i="2" s="1"/>
  <c r="W16" i="2"/>
  <c r="W22" i="2"/>
  <c r="X22" i="2" s="1"/>
  <c r="Y14" i="2"/>
  <c r="Y15" i="2" s="1"/>
  <c r="Z6" i="2"/>
  <c r="Z20" i="2" s="1"/>
  <c r="Z19" i="2"/>
  <c r="Z5" i="2"/>
  <c r="Y5" i="2"/>
  <c r="Y20" i="2"/>
  <c r="AF5" i="2" l="1"/>
  <c r="AF11" i="2"/>
  <c r="AF13" i="2" s="1"/>
  <c r="Z11" i="2"/>
  <c r="Z13" i="2" s="1"/>
  <c r="Z14" i="2" s="1"/>
  <c r="Z15" i="2" s="1"/>
  <c r="Y16" i="2"/>
  <c r="AA19" i="2"/>
  <c r="AA6" i="2"/>
  <c r="Y22" i="2"/>
  <c r="AF14" i="2" l="1"/>
  <c r="AF15" i="2" s="1"/>
  <c r="AF16" i="2" s="1"/>
  <c r="Z16" i="2"/>
  <c r="Z22" i="2"/>
  <c r="AA5" i="2"/>
  <c r="AA20" i="2"/>
  <c r="AA11" i="2"/>
  <c r="AA13" i="2" s="1"/>
  <c r="AA14" i="2" l="1"/>
  <c r="AA15" i="2" s="1"/>
  <c r="AA16" i="2" l="1"/>
  <c r="AG15" i="2"/>
  <c r="AH15" i="2" s="1"/>
  <c r="AI15" i="2" s="1"/>
  <c r="AJ15" i="2" s="1"/>
  <c r="AK15" i="2" s="1"/>
  <c r="AL15" i="2" s="1"/>
  <c r="AM15" i="2" s="1"/>
  <c r="AN15" i="2" s="1"/>
  <c r="AO15" i="2" s="1"/>
  <c r="AP15" i="2" s="1"/>
  <c r="AQ15" i="2" s="1"/>
  <c r="AR15" i="2" s="1"/>
  <c r="AS15" i="2" s="1"/>
  <c r="AT15" i="2" s="1"/>
  <c r="AU15" i="2" s="1"/>
  <c r="AV15" i="2" s="1"/>
  <c r="AW15" i="2" s="1"/>
  <c r="AX15" i="2" s="1"/>
  <c r="AY15" i="2" s="1"/>
  <c r="AZ15" i="2" s="1"/>
  <c r="BA15" i="2" s="1"/>
  <c r="BB15" i="2" s="1"/>
  <c r="BC15" i="2" s="1"/>
  <c r="BD15" i="2" s="1"/>
  <c r="BE15" i="2" s="1"/>
  <c r="BF15" i="2" s="1"/>
  <c r="BG15" i="2" s="1"/>
  <c r="BH15" i="2" s="1"/>
  <c r="BI15" i="2" s="1"/>
  <c r="BJ15" i="2" s="1"/>
  <c r="BK15" i="2" s="1"/>
  <c r="BL15" i="2" s="1"/>
  <c r="BM15" i="2" s="1"/>
  <c r="BN15" i="2" s="1"/>
  <c r="BO15" i="2" s="1"/>
  <c r="BP15" i="2" s="1"/>
  <c r="BQ15" i="2" s="1"/>
  <c r="BR15" i="2" s="1"/>
  <c r="BS15" i="2" s="1"/>
  <c r="BT15" i="2" s="1"/>
  <c r="BU15" i="2" s="1"/>
  <c r="BV15" i="2" s="1"/>
  <c r="BW15" i="2" s="1"/>
  <c r="BX15" i="2" s="1"/>
  <c r="BY15" i="2" s="1"/>
  <c r="BZ15" i="2" s="1"/>
  <c r="CA15" i="2" s="1"/>
  <c r="CB15" i="2" s="1"/>
  <c r="CC15" i="2" s="1"/>
  <c r="CD15" i="2" s="1"/>
  <c r="AE27" i="2" s="1"/>
  <c r="AE28" i="2" s="1"/>
  <c r="AA22" i="2"/>
  <c r="AB22" i="2" s="1"/>
  <c r="AC22" i="2" s="1"/>
  <c r="AD22" i="2" s="1"/>
  <c r="AE22" i="2" s="1"/>
  <c r="AF22" i="2" s="1"/>
</calcChain>
</file>

<file path=xl/sharedStrings.xml><?xml version="1.0" encoding="utf-8"?>
<sst xmlns="http://schemas.openxmlformats.org/spreadsheetml/2006/main" count="46" uniqueCount="42">
  <si>
    <t>Price</t>
  </si>
  <si>
    <t>Shares</t>
  </si>
  <si>
    <t>MC</t>
  </si>
  <si>
    <t>Cash</t>
  </si>
  <si>
    <t>Debt</t>
  </si>
  <si>
    <t>EV</t>
  </si>
  <si>
    <t>Main</t>
  </si>
  <si>
    <t>Revenue</t>
  </si>
  <si>
    <t>Q122</t>
  </si>
  <si>
    <t>Q222</t>
  </si>
  <si>
    <t>Q322</t>
  </si>
  <si>
    <t>Q422</t>
  </si>
  <si>
    <t>Q123</t>
  </si>
  <si>
    <t>Q223</t>
  </si>
  <si>
    <t>Q323</t>
  </si>
  <si>
    <t>Q423</t>
  </si>
  <si>
    <t>Q124</t>
  </si>
  <si>
    <t>Q224</t>
  </si>
  <si>
    <t>Q324</t>
  </si>
  <si>
    <t>Q424</t>
  </si>
  <si>
    <t>Founded: 2011</t>
  </si>
  <si>
    <t>COGS</t>
  </si>
  <si>
    <t>Gross Profit</t>
  </si>
  <si>
    <t>S&amp;M</t>
  </si>
  <si>
    <t>R&amp;D</t>
  </si>
  <si>
    <t>G&amp;A</t>
  </si>
  <si>
    <t>EPS</t>
  </si>
  <si>
    <t>Net Income</t>
  </si>
  <si>
    <t>Taxes</t>
  </si>
  <si>
    <t>Pretax Income</t>
  </si>
  <si>
    <t>Interest Income</t>
  </si>
  <si>
    <t>Operating Income</t>
  </si>
  <si>
    <t>Operating Expenses</t>
  </si>
  <si>
    <t>Revenue Growth</t>
  </si>
  <si>
    <t>CFFO</t>
  </si>
  <si>
    <t>DR</t>
  </si>
  <si>
    <t>Gross Margin</t>
  </si>
  <si>
    <t>Maturity</t>
  </si>
  <si>
    <t>Discount</t>
  </si>
  <si>
    <t>NPV</t>
  </si>
  <si>
    <t>Share</t>
  </si>
  <si>
    <t>IPO: 2021-10-22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</si>
</sst>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m/d/yy;@"/>
    <numFmt numFmtId="165" formatCode="yyyy/mm/dd;@"/>
  </numFmts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9">
    <xf numFmtId="0" fontId="0" fillId="0" borderId="0" xfId="0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4" fontId="0" fillId="0" borderId="0" xfId="0" applyNumberFormat="1" applyAlignment="1">
      <alignment horizontal="right"/>
    </xf>
    <xf numFmtId="0" fontId="1" fillId="0" borderId="0" xfId="0" applyFont="1"/>
    <xf numFmtId="0" fontId="1" fillId="0" borderId="0" xfId="0" applyFont="1" applyAlignment="1">
      <alignment horizontal="right"/>
    </xf>
    <xf numFmtId="9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164" fontId="0" fillId="0" borderId="0" xfId="0" applyNumberFormat="1"/>
    <xf numFmtId="9" fontId="1" fillId="0" borderId="0" xfId="0" applyNumberFormat="1" applyFont="1" applyAlignment="1">
      <alignment horizontal="right"/>
    </xf>
    <xf numFmtId="9" fontId="1" fillId="0" borderId="0" xfId="0" applyNumberFormat="1" applyFont="1"/>
    <xf numFmtId="9" fontId="0" fillId="0" borderId="0" xfId="0" applyNumberFormat="1"/>
    <xf numFmtId="0" fontId="2" fillId="0" borderId="0" xfId="1"/>
    <xf numFmtId="14" fontId="0" fillId="0" borderId="0" xfId="0" applyNumberFormat="1"/>
    <xf numFmtId="165" fontId="0" fillId="0" borderId="0" xfId="0" applyNumberFormat="1" applyAlignment="1">
      <alignment horizontal="right"/>
    </xf>
    <xf numFmtId="165" fontId="0" fillId="0" borderId="0" xfId="0" applyNumberFormat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83275C36-8C7D-4117-B257-FB75287033D5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13939</xdr:colOff>
      <xdr:row>0</xdr:row>
      <xdr:rowOff>0</xdr:rowOff>
    </xdr:from>
    <xdr:to>
      <xdr:col>12</xdr:col>
      <xdr:colOff>13939</xdr:colOff>
      <xdr:row>31</xdr:row>
      <xdr:rowOff>125451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5E02F24B-C6B7-80C7-7D97-78B3AA5A7802}"/>
            </a:ext>
          </a:extLst>
        </xdr:cNvPr>
        <xdr:cNvCxnSpPr/>
      </xdr:nvCxnSpPr>
      <xdr:spPr>
        <a:xfrm>
          <a:off x="7643232" y="0"/>
          <a:ext cx="0" cy="500411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32525</xdr:colOff>
      <xdr:row>0</xdr:row>
      <xdr:rowOff>23232</xdr:rowOff>
    </xdr:from>
    <xdr:to>
      <xdr:col>20</xdr:col>
      <xdr:colOff>32525</xdr:colOff>
      <xdr:row>31</xdr:row>
      <xdr:rowOff>130097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9FF94518-A5E9-2337-4F67-2D0DA8508FB8}"/>
            </a:ext>
          </a:extLst>
        </xdr:cNvPr>
        <xdr:cNvCxnSpPr/>
      </xdr:nvCxnSpPr>
      <xdr:spPr>
        <a:xfrm>
          <a:off x="12363915" y="23232"/>
          <a:ext cx="0" cy="4985524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EA4DF-DFBB-4838-874D-6BE9FB2CE383}">
  <dimension ref="L2:N13"/>
  <sheetViews>
    <sheetView zoomScaleNormal="100" workbookViewId="0">
      <selection activeCell="N19" sqref="N19"/>
    </sheetView>
  </sheetViews>
  <sheetFormatPr defaultRowHeight="12.75" x14ac:dyDescent="0.2"/>
  <cols>
    <col min="13" max="13" width="8.7109375" customWidth="1"/>
  </cols>
  <sheetData>
    <row r="2" spans="12:14" x14ac:dyDescent="0.2">
      <c r="L2" t="s">
        <v>0</v>
      </c>
      <c r="M2" s="1">
        <v>32.659999999999997</v>
      </c>
    </row>
    <row r="3" spans="12:14" x14ac:dyDescent="0.2">
      <c r="L3" t="s">
        <v>1</v>
      </c>
      <c r="M3" s="2">
        <f>77.451377+24.175408</f>
        <v>101.626785</v>
      </c>
      <c r="N3" s="3" t="s">
        <v>17</v>
      </c>
    </row>
    <row r="4" spans="12:14" x14ac:dyDescent="0.2">
      <c r="L4" t="s">
        <v>2</v>
      </c>
      <c r="M4" s="2">
        <f>+M2*M3</f>
        <v>3319.1307980999995</v>
      </c>
      <c r="N4" s="3"/>
    </row>
    <row r="5" spans="12:14" x14ac:dyDescent="0.2">
      <c r="L5" t="s">
        <v>3</v>
      </c>
      <c r="M5" s="2">
        <f>74.801+3.373+408.957+0.53</f>
        <v>487.66099999999994</v>
      </c>
      <c r="N5" s="3" t="s">
        <v>17</v>
      </c>
    </row>
    <row r="6" spans="12:14" x14ac:dyDescent="0.2">
      <c r="L6" t="s">
        <v>4</v>
      </c>
      <c r="M6" s="2">
        <v>0</v>
      </c>
      <c r="N6" s="3" t="s">
        <v>17</v>
      </c>
    </row>
    <row r="7" spans="12:14" x14ac:dyDescent="0.2">
      <c r="L7" t="s">
        <v>5</v>
      </c>
      <c r="M7" s="2">
        <f>+M4-M5+M6</f>
        <v>2831.4697980999995</v>
      </c>
    </row>
    <row r="11" spans="12:14" x14ac:dyDescent="0.2">
      <c r="L11" t="s">
        <v>20</v>
      </c>
    </row>
    <row r="12" spans="12:14" x14ac:dyDescent="0.2">
      <c r="L12" t="s">
        <v>41</v>
      </c>
    </row>
    <row r="13" spans="12:14" x14ac:dyDescent="0.2">
      <c r="M13" s="1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D41F9-ED3C-43DC-A596-585B0D9EDF47}">
  <dimension ref="A1:CD28"/>
  <sheetViews>
    <sheetView tabSelected="1" zoomScaleNormal="100" workbookViewId="0">
      <pane xSplit="2" ySplit="3" topLeftCell="V4" activePane="bottomRight" state="frozen"/>
      <selection pane="topRight" activeCell="C1" sqref="C1"/>
      <selection pane="bottomLeft" activeCell="A3" sqref="A3"/>
      <selection pane="bottomRight" activeCell="AG25" sqref="AG25"/>
    </sheetView>
  </sheetViews>
  <sheetFormatPr defaultRowHeight="12.75" x14ac:dyDescent="0.2"/>
  <cols>
    <col min="1" max="1" width="5" bestFit="1" customWidth="1"/>
    <col min="2" max="2" width="18.140625" bestFit="1" customWidth="1"/>
    <col min="3" max="3" width="9.140625" style="3"/>
    <col min="4" max="13" width="10.140625" style="3" bestFit="1" customWidth="1"/>
    <col min="14" max="14" width="9.140625" style="3"/>
    <col min="18" max="22" width="10.140625" bestFit="1" customWidth="1"/>
    <col min="26" max="26" width="9.42578125" customWidth="1"/>
    <col min="27" max="32" width="10" customWidth="1"/>
  </cols>
  <sheetData>
    <row r="1" spans="1:82" x14ac:dyDescent="0.2">
      <c r="A1" s="15" t="s">
        <v>6</v>
      </c>
    </row>
    <row r="2" spans="1:82" s="11" customFormat="1" x14ac:dyDescent="0.2">
      <c r="C2" s="17"/>
      <c r="D2" s="17">
        <v>44773</v>
      </c>
      <c r="E2" s="17">
        <v>44865</v>
      </c>
      <c r="F2" s="17">
        <v>44957</v>
      </c>
      <c r="G2" s="17">
        <v>45046</v>
      </c>
      <c r="H2" s="17">
        <v>45138</v>
      </c>
      <c r="I2" s="17">
        <v>45230</v>
      </c>
      <c r="J2" s="17">
        <v>45322</v>
      </c>
      <c r="K2" s="17">
        <v>45412</v>
      </c>
      <c r="L2" s="17">
        <v>45504</v>
      </c>
      <c r="M2" s="17">
        <f>+I2+366</f>
        <v>45596</v>
      </c>
      <c r="N2" s="17"/>
      <c r="O2" s="18"/>
      <c r="P2" s="18"/>
      <c r="Q2" s="18"/>
      <c r="R2" s="18">
        <v>44227</v>
      </c>
      <c r="S2" s="18">
        <v>44592</v>
      </c>
      <c r="T2" s="18">
        <v>44957</v>
      </c>
      <c r="U2" s="18">
        <v>45322</v>
      </c>
      <c r="V2" s="18">
        <f>+U2+366</f>
        <v>45688</v>
      </c>
    </row>
    <row r="3" spans="1:82" x14ac:dyDescent="0.2">
      <c r="C3" s="3" t="s">
        <v>8</v>
      </c>
      <c r="D3" s="3" t="s">
        <v>9</v>
      </c>
      <c r="E3" s="3" t="s">
        <v>10</v>
      </c>
      <c r="F3" s="3" t="s">
        <v>11</v>
      </c>
      <c r="G3" s="3" t="s">
        <v>12</v>
      </c>
      <c r="H3" s="3" t="s">
        <v>13</v>
      </c>
      <c r="I3" s="3" t="s">
        <v>14</v>
      </c>
      <c r="J3" s="3" t="s">
        <v>15</v>
      </c>
      <c r="K3" s="3" t="s">
        <v>16</v>
      </c>
      <c r="L3" s="3" t="s">
        <v>17</v>
      </c>
      <c r="M3" s="3" t="s">
        <v>18</v>
      </c>
      <c r="N3" s="3" t="s">
        <v>19</v>
      </c>
      <c r="Q3">
        <v>2020</v>
      </c>
      <c r="R3">
        <v>2021</v>
      </c>
      <c r="S3">
        <v>2022</v>
      </c>
      <c r="T3">
        <v>2023</v>
      </c>
      <c r="U3">
        <f>+T3+1</f>
        <v>2024</v>
      </c>
      <c r="V3">
        <f>+U3+1</f>
        <v>2025</v>
      </c>
      <c r="W3">
        <f t="shared" ref="W3:AH3" si="0">+V3+1</f>
        <v>2026</v>
      </c>
      <c r="X3">
        <f t="shared" si="0"/>
        <v>2027</v>
      </c>
      <c r="Y3">
        <f t="shared" si="0"/>
        <v>2028</v>
      </c>
      <c r="Z3">
        <f t="shared" si="0"/>
        <v>2029</v>
      </c>
      <c r="AA3">
        <f t="shared" si="0"/>
        <v>2030</v>
      </c>
      <c r="AB3">
        <f t="shared" si="0"/>
        <v>2031</v>
      </c>
      <c r="AC3">
        <f t="shared" si="0"/>
        <v>2032</v>
      </c>
      <c r="AD3">
        <f t="shared" si="0"/>
        <v>2033</v>
      </c>
      <c r="AE3">
        <f t="shared" si="0"/>
        <v>2034</v>
      </c>
      <c r="AF3">
        <f t="shared" si="0"/>
        <v>2035</v>
      </c>
      <c r="AG3">
        <f t="shared" si="0"/>
        <v>2036</v>
      </c>
      <c r="AH3">
        <f t="shared" si="0"/>
        <v>2037</v>
      </c>
    </row>
    <row r="4" spans="1:82" s="9" customFormat="1" x14ac:dyDescent="0.2">
      <c r="B4" s="9" t="s">
        <v>7</v>
      </c>
      <c r="C4" s="10">
        <v>77495</v>
      </c>
      <c r="D4" s="10">
        <v>86131</v>
      </c>
      <c r="E4" s="10">
        <v>93125</v>
      </c>
      <c r="F4" s="10">
        <v>98675</v>
      </c>
      <c r="G4" s="10">
        <v>101780</v>
      </c>
      <c r="H4" s="10">
        <v>115107</v>
      </c>
      <c r="I4" s="10">
        <v>123956</v>
      </c>
      <c r="J4" s="10">
        <v>130957</v>
      </c>
      <c r="K4" s="10">
        <v>135459</v>
      </c>
      <c r="L4" s="10">
        <v>145499</v>
      </c>
      <c r="M4" s="10">
        <v>148000</v>
      </c>
      <c r="N4" s="10"/>
      <c r="R4" s="9">
        <v>150191</v>
      </c>
      <c r="S4" s="9">
        <v>238035</v>
      </c>
      <c r="T4" s="9">
        <v>355426</v>
      </c>
      <c r="U4" s="9">
        <f>SUM(G4:J4)</f>
        <v>471800</v>
      </c>
      <c r="V4" s="9">
        <f>+U4*1.2</f>
        <v>566160</v>
      </c>
      <c r="W4" s="9">
        <f>+V4*1.2</f>
        <v>679392</v>
      </c>
      <c r="X4" s="9">
        <f>+W4*1.2</f>
        <v>815270.40000000002</v>
      </c>
      <c r="Y4" s="9">
        <f>+X4*1.15</f>
        <v>937560.96</v>
      </c>
      <c r="Z4" s="9">
        <f>+Y4*1.15</f>
        <v>1078195.1039999998</v>
      </c>
      <c r="AA4" s="9">
        <f>+Z4*1.1</f>
        <v>1186014.6143999998</v>
      </c>
      <c r="AB4" s="9">
        <f>+AA4*1.05</f>
        <v>1245315.34512</v>
      </c>
      <c r="AC4" s="9">
        <f>+AB4*1.05</f>
        <v>1307581.112376</v>
      </c>
      <c r="AD4" s="9">
        <f t="shared" ref="AD4:AF4" si="1">+AC4*1.05</f>
        <v>1372960.1679948</v>
      </c>
      <c r="AE4" s="9">
        <f t="shared" si="1"/>
        <v>1441608.1763945401</v>
      </c>
      <c r="AF4" s="9">
        <f t="shared" si="1"/>
        <v>1513688.5852142673</v>
      </c>
    </row>
    <row r="5" spans="1:82" s="2" customFormat="1" x14ac:dyDescent="0.2">
      <c r="B5" s="2" t="s">
        <v>21</v>
      </c>
      <c r="C5" s="8">
        <v>25906</v>
      </c>
      <c r="D5" s="8">
        <v>27352</v>
      </c>
      <c r="E5" s="8">
        <v>29135</v>
      </c>
      <c r="F5" s="8">
        <v>33425</v>
      </c>
      <c r="G5" s="8">
        <v>32687</v>
      </c>
      <c r="H5" s="8">
        <v>35474</v>
      </c>
      <c r="I5" s="8">
        <v>36374</v>
      </c>
      <c r="J5" s="8">
        <v>42992</v>
      </c>
      <c r="K5" s="8">
        <v>44548</v>
      </c>
      <c r="L5" s="8">
        <v>43420</v>
      </c>
      <c r="M5" s="8"/>
      <c r="N5" s="8"/>
      <c r="R5" s="2">
        <v>54511</v>
      </c>
      <c r="S5" s="2">
        <v>78511</v>
      </c>
      <c r="T5" s="2">
        <v>115818</v>
      </c>
      <c r="U5" s="2">
        <f>SUM(G5:J5)-3585</f>
        <v>143942</v>
      </c>
      <c r="V5" s="2">
        <f t="shared" ref="V5:AA5" si="2">+V4-V6</f>
        <v>164186.40000000002</v>
      </c>
      <c r="W5" s="2">
        <f t="shared" si="2"/>
        <v>190229.76000000001</v>
      </c>
      <c r="X5" s="2">
        <f t="shared" si="2"/>
        <v>228275.71200000006</v>
      </c>
      <c r="Y5" s="2">
        <f t="shared" si="2"/>
        <v>253141.45920000004</v>
      </c>
      <c r="Z5" s="2">
        <f t="shared" si="2"/>
        <v>291112.67807999998</v>
      </c>
      <c r="AA5" s="2">
        <f t="shared" si="2"/>
        <v>308363.79974399996</v>
      </c>
      <c r="AB5" s="2">
        <f t="shared" ref="AB5:AC5" si="3">+AB4-AB6</f>
        <v>323781.98973120004</v>
      </c>
      <c r="AC5" s="2">
        <f t="shared" si="3"/>
        <v>339971.08921776002</v>
      </c>
      <c r="AD5" s="2">
        <f t="shared" ref="AD5" si="4">+AD4-AD6</f>
        <v>356969.64367864805</v>
      </c>
      <c r="AE5" s="2">
        <f t="shared" ref="AE5" si="5">+AE4-AE6</f>
        <v>374818.12586258049</v>
      </c>
      <c r="AF5" s="2">
        <f t="shared" ref="AF5" si="6">+AF4-AF6</f>
        <v>393559.03215570957</v>
      </c>
    </row>
    <row r="6" spans="1:82" s="2" customFormat="1" x14ac:dyDescent="0.2">
      <c r="B6" s="2" t="s">
        <v>22</v>
      </c>
      <c r="C6" s="8">
        <f t="shared" ref="C6:I6" si="7">+C4-C5</f>
        <v>51589</v>
      </c>
      <c r="D6" s="8">
        <f t="shared" si="7"/>
        <v>58779</v>
      </c>
      <c r="E6" s="8">
        <f t="shared" si="7"/>
        <v>63990</v>
      </c>
      <c r="F6" s="8">
        <f t="shared" si="7"/>
        <v>65250</v>
      </c>
      <c r="G6" s="8">
        <f t="shared" si="7"/>
        <v>69093</v>
      </c>
      <c r="H6" s="8">
        <f t="shared" si="7"/>
        <v>79633</v>
      </c>
      <c r="I6" s="8">
        <f t="shared" si="7"/>
        <v>87582</v>
      </c>
      <c r="J6" s="8">
        <f t="shared" ref="J6" si="8">+J4-J5</f>
        <v>87965</v>
      </c>
      <c r="K6" s="8">
        <f>+K4-K5</f>
        <v>90911</v>
      </c>
      <c r="L6" s="8">
        <f>+L4-L5</f>
        <v>102079</v>
      </c>
      <c r="M6" s="8"/>
      <c r="N6" s="8"/>
      <c r="R6" s="2">
        <f>+R4-R5</f>
        <v>95680</v>
      </c>
      <c r="S6" s="2">
        <f>+S4-S5</f>
        <v>159524</v>
      </c>
      <c r="T6" s="2">
        <f>+T4-T5</f>
        <v>239608</v>
      </c>
      <c r="U6" s="2">
        <f>+U4-U5</f>
        <v>327858</v>
      </c>
      <c r="V6" s="2">
        <f>+V4*0.71</f>
        <v>401973.6</v>
      </c>
      <c r="W6" s="2">
        <f>+W4*0.72</f>
        <v>489162.23999999999</v>
      </c>
      <c r="X6" s="2">
        <f>+X4*0.72</f>
        <v>586994.68799999997</v>
      </c>
      <c r="Y6" s="2">
        <f>+Y4*0.73</f>
        <v>684419.50079999992</v>
      </c>
      <c r="Z6" s="2">
        <f>+Z4*0.73</f>
        <v>787082.42591999983</v>
      </c>
      <c r="AA6" s="2">
        <f>+AA4*0.74</f>
        <v>877650.81465599989</v>
      </c>
      <c r="AB6" s="2">
        <f t="shared" ref="AB6:AC6" si="9">+AB4*0.74</f>
        <v>921533.35538879992</v>
      </c>
      <c r="AC6" s="2">
        <f t="shared" si="9"/>
        <v>967610.02315824002</v>
      </c>
      <c r="AD6" s="2">
        <f>+AD4*0.74</f>
        <v>1015990.524316152</v>
      </c>
      <c r="AE6" s="2">
        <f t="shared" ref="AE6:AF6" si="10">+AE4*0.74</f>
        <v>1066790.0505319596</v>
      </c>
      <c r="AF6" s="2">
        <f t="shared" si="10"/>
        <v>1120129.5530585577</v>
      </c>
    </row>
    <row r="7" spans="1:82" s="2" customFormat="1" x14ac:dyDescent="0.2">
      <c r="B7" s="2" t="s">
        <v>23</v>
      </c>
      <c r="C7" s="8">
        <v>46044</v>
      </c>
      <c r="D7" s="8">
        <v>50007</v>
      </c>
      <c r="E7" s="8">
        <v>52841</v>
      </c>
      <c r="F7" s="8">
        <v>52792</v>
      </c>
      <c r="G7" s="8">
        <v>57262</v>
      </c>
      <c r="H7" s="8">
        <v>60417</v>
      </c>
      <c r="I7" s="8">
        <v>66395</v>
      </c>
      <c r="J7" s="8">
        <v>63051</v>
      </c>
      <c r="K7" s="8">
        <v>69827</v>
      </c>
      <c r="L7" s="8">
        <v>68569</v>
      </c>
      <c r="M7" s="8"/>
      <c r="N7" s="8"/>
      <c r="R7" s="2">
        <v>70661</v>
      </c>
      <c r="S7" s="2">
        <v>127137</v>
      </c>
      <c r="T7" s="2">
        <v>201684</v>
      </c>
      <c r="U7" s="2">
        <f>SUM(G7:J7)-31198</f>
        <v>215927</v>
      </c>
      <c r="V7" s="2">
        <f>+U7</f>
        <v>215927</v>
      </c>
      <c r="W7" s="2">
        <f t="shared" ref="W7:X7" si="11">+V7*1.05</f>
        <v>226723.35</v>
      </c>
      <c r="X7" s="2">
        <f t="shared" si="11"/>
        <v>238059.51750000002</v>
      </c>
      <c r="Y7" s="2">
        <f t="shared" ref="Y7:AA7" si="12">+X7*1.01</f>
        <v>240440.11267500001</v>
      </c>
      <c r="Z7" s="2">
        <f t="shared" si="12"/>
        <v>242844.51380175</v>
      </c>
      <c r="AA7" s="2">
        <f t="shared" si="12"/>
        <v>245272.9589397675</v>
      </c>
      <c r="AB7" s="2">
        <f t="shared" ref="AB7:AC7" si="13">+AA7*1.01</f>
        <v>247725.68852916517</v>
      </c>
      <c r="AC7" s="2">
        <f t="shared" si="13"/>
        <v>250202.94541445683</v>
      </c>
      <c r="AD7" s="2">
        <f t="shared" ref="AD7:AF7" si="14">+AC7*1.01</f>
        <v>252704.97486860139</v>
      </c>
      <c r="AE7" s="2">
        <f t="shared" si="14"/>
        <v>255232.02461728742</v>
      </c>
      <c r="AF7" s="2">
        <f t="shared" si="14"/>
        <v>257784.34486346028</v>
      </c>
    </row>
    <row r="8" spans="1:82" s="2" customFormat="1" x14ac:dyDescent="0.2">
      <c r="B8" s="2" t="s">
        <v>24</v>
      </c>
      <c r="C8" s="8">
        <v>21260</v>
      </c>
      <c r="D8" s="8">
        <v>23336</v>
      </c>
      <c r="E8" s="8">
        <v>25583</v>
      </c>
      <c r="F8" s="8">
        <v>26754</v>
      </c>
      <c r="G8" s="8">
        <v>29745</v>
      </c>
      <c r="H8" s="8">
        <v>29132</v>
      </c>
      <c r="I8" s="8">
        <v>29872</v>
      </c>
      <c r="J8" s="8">
        <v>31114</v>
      </c>
      <c r="K8" s="8">
        <v>34373</v>
      </c>
      <c r="L8" s="8">
        <v>33141</v>
      </c>
      <c r="M8" s="8"/>
      <c r="N8" s="8"/>
      <c r="R8" s="2">
        <v>29212</v>
      </c>
      <c r="S8" s="2">
        <v>59034</v>
      </c>
      <c r="T8" s="2">
        <v>97293</v>
      </c>
      <c r="U8" s="2">
        <f>SUM(G8:J8)-38962</f>
        <v>80901</v>
      </c>
      <c r="V8" s="2">
        <f>+U8</f>
        <v>80901</v>
      </c>
      <c r="W8" s="2">
        <f t="shared" ref="W8:X9" si="15">+V8*1.03</f>
        <v>83328.03</v>
      </c>
      <c r="X8" s="2">
        <f t="shared" si="15"/>
        <v>85827.870899999994</v>
      </c>
      <c r="Y8" s="2">
        <f t="shared" ref="Y8:AA8" si="16">+X8*1.01</f>
        <v>86686.149609</v>
      </c>
      <c r="Z8" s="2">
        <f t="shared" si="16"/>
        <v>87553.011105090001</v>
      </c>
      <c r="AA8" s="2">
        <f t="shared" si="16"/>
        <v>88428.541216140904</v>
      </c>
      <c r="AB8" s="2">
        <f t="shared" ref="AB8:AC8" si="17">+AA8*1.01</f>
        <v>89312.826628302311</v>
      </c>
      <c r="AC8" s="2">
        <f t="shared" si="17"/>
        <v>90205.954894585331</v>
      </c>
      <c r="AD8" s="2">
        <f t="shared" ref="AD8:AF8" si="18">+AC8*1.01</f>
        <v>91108.014443531181</v>
      </c>
      <c r="AE8" s="2">
        <f t="shared" si="18"/>
        <v>92019.094587966494</v>
      </c>
      <c r="AF8" s="2">
        <f t="shared" si="18"/>
        <v>92939.285533846167</v>
      </c>
    </row>
    <row r="9" spans="1:82" s="2" customFormat="1" x14ac:dyDescent="0.2">
      <c r="B9" s="2" t="s">
        <v>25</v>
      </c>
      <c r="C9" s="8">
        <v>23574</v>
      </c>
      <c r="D9" s="8">
        <v>20543</v>
      </c>
      <c r="E9" s="8">
        <v>22430</v>
      </c>
      <c r="F9" s="8">
        <v>22224</v>
      </c>
      <c r="G9" s="8">
        <v>23983</v>
      </c>
      <c r="H9" s="8">
        <v>25453</v>
      </c>
      <c r="I9" s="8">
        <v>26448</v>
      </c>
      <c r="J9" s="8">
        <v>26093</v>
      </c>
      <c r="K9" s="8">
        <v>26791</v>
      </c>
      <c r="L9" s="8">
        <v>28319</v>
      </c>
      <c r="M9" s="8"/>
      <c r="N9" s="8"/>
      <c r="R9" s="2">
        <v>27959</v>
      </c>
      <c r="S9" s="2">
        <v>51564</v>
      </c>
      <c r="T9" s="2">
        <v>88771</v>
      </c>
      <c r="U9" s="2">
        <f>SUM(G9:J9)-23432</f>
        <v>78545</v>
      </c>
      <c r="V9" s="2">
        <f>+U9</f>
        <v>78545</v>
      </c>
      <c r="W9" s="2">
        <f t="shared" si="15"/>
        <v>80901.350000000006</v>
      </c>
      <c r="X9" s="2">
        <f t="shared" si="15"/>
        <v>83328.390500000009</v>
      </c>
      <c r="Y9" s="2">
        <f t="shared" ref="Y9:AA9" si="19">+X9*1.01</f>
        <v>84161.674405000012</v>
      </c>
      <c r="Z9" s="2">
        <f t="shared" si="19"/>
        <v>85003.291149050012</v>
      </c>
      <c r="AA9" s="2">
        <f t="shared" si="19"/>
        <v>85853.324060540515</v>
      </c>
      <c r="AB9" s="2">
        <f t="shared" ref="AB9:AC9" si="20">+AA9*1.01</f>
        <v>86711.857301145923</v>
      </c>
      <c r="AC9" s="2">
        <f t="shared" si="20"/>
        <v>87578.97587415739</v>
      </c>
      <c r="AD9" s="2">
        <f t="shared" ref="AD9:AF9" si="21">+AC9*1.01</f>
        <v>88454.765632898969</v>
      </c>
      <c r="AE9" s="2">
        <f t="shared" si="21"/>
        <v>89339.313289227954</v>
      </c>
      <c r="AF9" s="2">
        <f t="shared" si="21"/>
        <v>90232.706422120231</v>
      </c>
    </row>
    <row r="10" spans="1:82" s="2" customFormat="1" x14ac:dyDescent="0.2">
      <c r="B10" s="2" t="s">
        <v>32</v>
      </c>
      <c r="C10" s="8">
        <f t="shared" ref="C10:J10" si="22">SUM(C7:C9)</f>
        <v>90878</v>
      </c>
      <c r="D10" s="8">
        <f t="shared" si="22"/>
        <v>93886</v>
      </c>
      <c r="E10" s="8">
        <f t="shared" si="22"/>
        <v>100854</v>
      </c>
      <c r="F10" s="8">
        <f t="shared" si="22"/>
        <v>101770</v>
      </c>
      <c r="G10" s="8">
        <f t="shared" si="22"/>
        <v>110990</v>
      </c>
      <c r="H10" s="8">
        <f t="shared" si="22"/>
        <v>115002</v>
      </c>
      <c r="I10" s="8">
        <f t="shared" si="22"/>
        <v>122715</v>
      </c>
      <c r="J10" s="8">
        <f t="shared" si="22"/>
        <v>120258</v>
      </c>
      <c r="K10" s="8">
        <f>SUM(K7:K9)</f>
        <v>130991</v>
      </c>
      <c r="L10" s="8">
        <f>SUM(L7:L9)</f>
        <v>130029</v>
      </c>
      <c r="M10" s="8"/>
      <c r="N10" s="8"/>
      <c r="R10" s="2">
        <f t="shared" ref="R10" si="23">SUM(R7:R9)</f>
        <v>127832</v>
      </c>
      <c r="S10" s="2">
        <f>SUM(S7:S9)</f>
        <v>237735</v>
      </c>
      <c r="T10" s="2">
        <f>SUM(T7:T9)</f>
        <v>387748</v>
      </c>
      <c r="U10" s="2">
        <f>SUM(U7:U9)</f>
        <v>375373</v>
      </c>
      <c r="V10" s="2">
        <f t="shared" ref="V10:AA10" si="24">SUM(V7:V9)</f>
        <v>375373</v>
      </c>
      <c r="W10" s="2">
        <f t="shared" si="24"/>
        <v>390952.73</v>
      </c>
      <c r="X10" s="2">
        <f t="shared" si="24"/>
        <v>407215.77890000003</v>
      </c>
      <c r="Y10" s="2">
        <f t="shared" si="24"/>
        <v>411287.93668899999</v>
      </c>
      <c r="Z10" s="2">
        <f t="shared" si="24"/>
        <v>415400.81605589</v>
      </c>
      <c r="AA10" s="2">
        <f t="shared" si="24"/>
        <v>419554.82421644893</v>
      </c>
      <c r="AB10" s="2">
        <f t="shared" ref="AB10" si="25">SUM(AB7:AB9)</f>
        <v>423750.37245861336</v>
      </c>
      <c r="AC10" s="2">
        <f t="shared" ref="AC10" si="26">SUM(AC7:AC9)</f>
        <v>427987.87618319958</v>
      </c>
      <c r="AD10" s="2">
        <f t="shared" ref="AD10" si="27">SUM(AD7:AD9)</f>
        <v>432267.75494503154</v>
      </c>
      <c r="AE10" s="2">
        <f t="shared" ref="AE10" si="28">SUM(AE7:AE9)</f>
        <v>436590.43249448185</v>
      </c>
      <c r="AF10" s="2">
        <f t="shared" ref="AF10" si="29">SUM(AF7:AF9)</f>
        <v>440956.33681942668</v>
      </c>
    </row>
    <row r="11" spans="1:82" s="2" customFormat="1" x14ac:dyDescent="0.2">
      <c r="B11" s="2" t="s">
        <v>31</v>
      </c>
      <c r="C11" s="8">
        <f t="shared" ref="C11:J11" si="30">+C6-C10</f>
        <v>-39289</v>
      </c>
      <c r="D11" s="8">
        <f t="shared" si="30"/>
        <v>-35107</v>
      </c>
      <c r="E11" s="8">
        <f t="shared" si="30"/>
        <v>-36864</v>
      </c>
      <c r="F11" s="8">
        <f t="shared" si="30"/>
        <v>-36520</v>
      </c>
      <c r="G11" s="8">
        <f t="shared" si="30"/>
        <v>-41897</v>
      </c>
      <c r="H11" s="8">
        <f t="shared" si="30"/>
        <v>-35369</v>
      </c>
      <c r="I11" s="8">
        <f t="shared" si="30"/>
        <v>-35133</v>
      </c>
      <c r="J11" s="8">
        <f t="shared" si="30"/>
        <v>-32293</v>
      </c>
      <c r="K11" s="8">
        <f>+K6-K10</f>
        <v>-40080</v>
      </c>
      <c r="L11" s="8">
        <f>+L6-L10</f>
        <v>-27950</v>
      </c>
      <c r="M11" s="8"/>
      <c r="N11" s="8"/>
      <c r="R11" s="2">
        <f t="shared" ref="R11" si="31">R6-R10</f>
        <v>-32152</v>
      </c>
      <c r="S11" s="2">
        <f>S6-S10</f>
        <v>-78211</v>
      </c>
      <c r="T11" s="2">
        <f>T6-T10</f>
        <v>-148140</v>
      </c>
      <c r="U11" s="2">
        <f>U6-U10</f>
        <v>-47515</v>
      </c>
      <c r="V11" s="2">
        <f t="shared" ref="V11:AA11" si="32">V6-V10</f>
        <v>26600.599999999977</v>
      </c>
      <c r="W11" s="2">
        <f t="shared" si="32"/>
        <v>98209.510000000009</v>
      </c>
      <c r="X11" s="2">
        <f t="shared" si="32"/>
        <v>179778.90909999993</v>
      </c>
      <c r="Y11" s="2">
        <f t="shared" si="32"/>
        <v>273131.56411099993</v>
      </c>
      <c r="Z11" s="2">
        <f t="shared" si="32"/>
        <v>371681.60986410984</v>
      </c>
      <c r="AA11" s="2">
        <f t="shared" si="32"/>
        <v>458095.99043955095</v>
      </c>
      <c r="AB11" s="2">
        <f t="shared" ref="AB11" si="33">AB6-AB10</f>
        <v>497782.98293018655</v>
      </c>
      <c r="AC11" s="2">
        <f t="shared" ref="AC11" si="34">AC6-AC10</f>
        <v>539622.14697504044</v>
      </c>
      <c r="AD11" s="2">
        <f t="shared" ref="AD11" si="35">AD6-AD10</f>
        <v>583722.76937112049</v>
      </c>
      <c r="AE11" s="2">
        <f t="shared" ref="AE11" si="36">AE6-AE10</f>
        <v>630199.61803747783</v>
      </c>
      <c r="AF11" s="2">
        <f t="shared" ref="AF11" si="37">AF6-AF10</f>
        <v>679173.21623913106</v>
      </c>
    </row>
    <row r="12" spans="1:82" s="2" customFormat="1" x14ac:dyDescent="0.2">
      <c r="B12" s="2" t="s">
        <v>30</v>
      </c>
      <c r="C12" s="8">
        <v>30</v>
      </c>
      <c r="D12" s="8">
        <v>1729</v>
      </c>
      <c r="E12" s="8">
        <v>2581</v>
      </c>
      <c r="F12" s="8">
        <v>3637</v>
      </c>
      <c r="G12" s="8">
        <v>3459</v>
      </c>
      <c r="H12" s="8">
        <v>3865</v>
      </c>
      <c r="I12" s="8">
        <v>4542</v>
      </c>
      <c r="J12" s="8">
        <v>4354</v>
      </c>
      <c r="K12" s="8">
        <v>5171</v>
      </c>
      <c r="L12" s="8">
        <v>5503</v>
      </c>
      <c r="M12" s="8"/>
      <c r="N12" s="8"/>
      <c r="R12" s="2">
        <f>840-120</f>
        <v>720</v>
      </c>
      <c r="S12" s="2">
        <v>-121</v>
      </c>
      <c r="T12" s="2">
        <v>7977</v>
      </c>
      <c r="U12" s="2">
        <f t="shared" ref="U12:U14" si="38">SUM(G12:J12)</f>
        <v>16220</v>
      </c>
      <c r="V12" s="2">
        <f t="shared" ref="V12:AA12" si="39">+U12</f>
        <v>16220</v>
      </c>
      <c r="W12" s="2">
        <f t="shared" si="39"/>
        <v>16220</v>
      </c>
      <c r="X12" s="2">
        <f t="shared" si="39"/>
        <v>16220</v>
      </c>
      <c r="Y12" s="2">
        <f t="shared" si="39"/>
        <v>16220</v>
      </c>
      <c r="Z12" s="2">
        <f t="shared" si="39"/>
        <v>16220</v>
      </c>
      <c r="AA12" s="2">
        <f t="shared" si="39"/>
        <v>16220</v>
      </c>
      <c r="AB12" s="2">
        <f t="shared" ref="AB12:AC12" si="40">+AA12</f>
        <v>16220</v>
      </c>
      <c r="AC12" s="2">
        <f t="shared" si="40"/>
        <v>16220</v>
      </c>
      <c r="AD12" s="2">
        <f t="shared" ref="AD12:AF12" si="41">+AC12</f>
        <v>16220</v>
      </c>
      <c r="AE12" s="2">
        <f t="shared" si="41"/>
        <v>16220</v>
      </c>
      <c r="AF12" s="2">
        <f t="shared" si="41"/>
        <v>16220</v>
      </c>
    </row>
    <row r="13" spans="1:82" s="2" customFormat="1" x14ac:dyDescent="0.2">
      <c r="B13" s="2" t="s">
        <v>29</v>
      </c>
      <c r="C13" s="8">
        <f t="shared" ref="C13:J13" si="42">+C11+C12</f>
        <v>-39259</v>
      </c>
      <c r="D13" s="8">
        <f t="shared" si="42"/>
        <v>-33378</v>
      </c>
      <c r="E13" s="8">
        <f t="shared" si="42"/>
        <v>-34283</v>
      </c>
      <c r="F13" s="8">
        <f t="shared" si="42"/>
        <v>-32883</v>
      </c>
      <c r="G13" s="8">
        <f t="shared" si="42"/>
        <v>-38438</v>
      </c>
      <c r="H13" s="8">
        <f t="shared" si="42"/>
        <v>-31504</v>
      </c>
      <c r="I13" s="8">
        <f t="shared" si="42"/>
        <v>-30591</v>
      </c>
      <c r="J13" s="8">
        <f t="shared" si="42"/>
        <v>-27939</v>
      </c>
      <c r="K13" s="8">
        <f>+K11+K12</f>
        <v>-34909</v>
      </c>
      <c r="L13" s="8">
        <f>+L11+L12</f>
        <v>-22447</v>
      </c>
      <c r="M13" s="8"/>
      <c r="N13" s="8"/>
      <c r="R13" s="2">
        <f t="shared" ref="R13:AA13" si="43">+R11+R12</f>
        <v>-31432</v>
      </c>
      <c r="S13" s="2">
        <f t="shared" si="43"/>
        <v>-78332</v>
      </c>
      <c r="T13" s="2">
        <f t="shared" si="43"/>
        <v>-140163</v>
      </c>
      <c r="U13" s="2">
        <f t="shared" si="43"/>
        <v>-31295</v>
      </c>
      <c r="V13" s="2">
        <f t="shared" si="43"/>
        <v>42820.599999999977</v>
      </c>
      <c r="W13" s="2">
        <f t="shared" si="43"/>
        <v>114429.51000000001</v>
      </c>
      <c r="X13" s="2">
        <f t="shared" si="43"/>
        <v>195998.90909999993</v>
      </c>
      <c r="Y13" s="2">
        <f t="shared" si="43"/>
        <v>289351.56411099993</v>
      </c>
      <c r="Z13" s="2">
        <f t="shared" si="43"/>
        <v>387901.60986410984</v>
      </c>
      <c r="AA13" s="2">
        <f t="shared" si="43"/>
        <v>474315.99043955095</v>
      </c>
      <c r="AB13" s="2">
        <f t="shared" ref="AB13:AC13" si="44">+AB11+AB12</f>
        <v>514002.98293018655</v>
      </c>
      <c r="AC13" s="2">
        <f t="shared" si="44"/>
        <v>555842.14697504044</v>
      </c>
      <c r="AD13" s="2">
        <f t="shared" ref="AD13" si="45">+AD11+AD12</f>
        <v>599942.76937112049</v>
      </c>
      <c r="AE13" s="2">
        <f t="shared" ref="AE13" si="46">+AE11+AE12</f>
        <v>646419.61803747783</v>
      </c>
      <c r="AF13" s="2">
        <f t="shared" ref="AF13" si="47">+AF11+AF12</f>
        <v>695393.21623913106</v>
      </c>
    </row>
    <row r="14" spans="1:82" s="2" customFormat="1" x14ac:dyDescent="0.2">
      <c r="B14" s="2" t="s">
        <v>28</v>
      </c>
      <c r="C14" s="8">
        <f>14-364</f>
        <v>-350</v>
      </c>
      <c r="D14" s="8">
        <f>35-527</f>
        <v>-492</v>
      </c>
      <c r="E14" s="8">
        <f>-391-532</f>
        <v>-923</v>
      </c>
      <c r="F14" s="8">
        <f>925-357</f>
        <v>568</v>
      </c>
      <c r="G14" s="8">
        <f>388-372</f>
        <v>16</v>
      </c>
      <c r="H14" s="8">
        <f>545-335</f>
        <v>210</v>
      </c>
      <c r="I14" s="8">
        <f>385-235</f>
        <v>150</v>
      </c>
      <c r="J14" s="8">
        <v>639</v>
      </c>
      <c r="K14" s="8">
        <f>798-66</f>
        <v>732</v>
      </c>
      <c r="L14" s="8">
        <f>702-150</f>
        <v>552</v>
      </c>
      <c r="M14" s="8"/>
      <c r="N14" s="8"/>
      <c r="R14" s="2">
        <f>537-217</f>
        <v>320</v>
      </c>
      <c r="S14" s="2">
        <f>-165-1448</f>
        <v>-1613</v>
      </c>
      <c r="T14" s="2">
        <f>583-1780</f>
        <v>-1197</v>
      </c>
      <c r="U14" s="2">
        <f t="shared" si="38"/>
        <v>1015</v>
      </c>
      <c r="V14" s="2">
        <f>+V13*0.1</f>
        <v>4282.0599999999977</v>
      </c>
      <c r="W14" s="2">
        <f>+W13*0.1</f>
        <v>11442.951000000001</v>
      </c>
      <c r="X14" s="2">
        <f>+X13*0.1</f>
        <v>19599.890909999995</v>
      </c>
      <c r="Y14" s="2">
        <f t="shared" ref="Y14:Z14" si="48">+Y13*0.15</f>
        <v>43402.734616649985</v>
      </c>
      <c r="Z14" s="2">
        <f t="shared" si="48"/>
        <v>58185.241479616474</v>
      </c>
      <c r="AA14" s="2">
        <f>+AA13*0.15</f>
        <v>71147.398565932643</v>
      </c>
      <c r="AB14" s="2">
        <f t="shared" ref="AB14:AC14" si="49">+AB13*0.15</f>
        <v>77100.447439527983</v>
      </c>
      <c r="AC14" s="2">
        <f t="shared" si="49"/>
        <v>83376.322046256057</v>
      </c>
      <c r="AD14" s="2">
        <f t="shared" ref="AD14" si="50">+AD13*0.15</f>
        <v>89991.415405668071</v>
      </c>
      <c r="AE14" s="2">
        <f t="shared" ref="AE14" si="51">+AE13*0.15</f>
        <v>96962.942705621666</v>
      </c>
      <c r="AF14" s="2">
        <f t="shared" ref="AF14" si="52">+AF13*0.15</f>
        <v>104308.98243586965</v>
      </c>
    </row>
    <row r="15" spans="1:82" s="2" customFormat="1" x14ac:dyDescent="0.2">
      <c r="B15" s="2" t="s">
        <v>27</v>
      </c>
      <c r="C15" s="8">
        <f t="shared" ref="C15:J15" si="53">+C13-C14</f>
        <v>-38909</v>
      </c>
      <c r="D15" s="8">
        <f t="shared" si="53"/>
        <v>-32886</v>
      </c>
      <c r="E15" s="8">
        <f t="shared" si="53"/>
        <v>-33360</v>
      </c>
      <c r="F15" s="8">
        <f t="shared" si="53"/>
        <v>-33451</v>
      </c>
      <c r="G15" s="8">
        <f t="shared" si="53"/>
        <v>-38454</v>
      </c>
      <c r="H15" s="8">
        <f t="shared" si="53"/>
        <v>-31714</v>
      </c>
      <c r="I15" s="8">
        <f t="shared" si="53"/>
        <v>-30741</v>
      </c>
      <c r="J15" s="8">
        <f t="shared" si="53"/>
        <v>-28578</v>
      </c>
      <c r="K15" s="8">
        <f>+K13-K14</f>
        <v>-35641</v>
      </c>
      <c r="L15" s="8">
        <f>+L13-L14</f>
        <v>-22999</v>
      </c>
      <c r="M15" s="8"/>
      <c r="N15" s="8"/>
      <c r="R15" s="2">
        <f t="shared" ref="R15:AA15" si="54">+R13-R14</f>
        <v>-31752</v>
      </c>
      <c r="S15" s="2">
        <f t="shared" si="54"/>
        <v>-76719</v>
      </c>
      <c r="T15" s="2">
        <f t="shared" si="54"/>
        <v>-138966</v>
      </c>
      <c r="U15" s="2">
        <f t="shared" si="54"/>
        <v>-32310</v>
      </c>
      <c r="V15" s="2">
        <f t="shared" si="54"/>
        <v>38538.539999999979</v>
      </c>
      <c r="W15" s="2">
        <f t="shared" si="54"/>
        <v>102986.55900000001</v>
      </c>
      <c r="X15" s="2">
        <f t="shared" si="54"/>
        <v>176399.01818999994</v>
      </c>
      <c r="Y15" s="2">
        <f t="shared" si="54"/>
        <v>245948.82949434995</v>
      </c>
      <c r="Z15" s="2">
        <f t="shared" si="54"/>
        <v>329716.36838449334</v>
      </c>
      <c r="AA15" s="2">
        <f t="shared" si="54"/>
        <v>403168.59187361831</v>
      </c>
      <c r="AB15" s="2">
        <f t="shared" ref="AB15:AC15" si="55">+AB13-AB14</f>
        <v>436902.5354906586</v>
      </c>
      <c r="AC15" s="2">
        <f t="shared" si="55"/>
        <v>472465.82492878439</v>
      </c>
      <c r="AD15" s="2">
        <f t="shared" ref="AD15" si="56">+AD13-AD14</f>
        <v>509951.35396545241</v>
      </c>
      <c r="AE15" s="2">
        <f t="shared" ref="AE15" si="57">+AE13-AE14</f>
        <v>549456.67533185612</v>
      </c>
      <c r="AF15" s="2">
        <f t="shared" ref="AF15" si="58">+AF13-AF14</f>
        <v>591084.23380326142</v>
      </c>
      <c r="AG15" s="2">
        <f t="shared" ref="AG15:BL15" si="59">+AF15*(1+$AE$25)</f>
        <v>585173.39146522875</v>
      </c>
      <c r="AH15" s="2">
        <f t="shared" si="59"/>
        <v>579321.65755057649</v>
      </c>
      <c r="AI15" s="2">
        <f t="shared" si="59"/>
        <v>573528.4409750707</v>
      </c>
      <c r="AJ15" s="2">
        <f t="shared" si="59"/>
        <v>567793.15656531998</v>
      </c>
      <c r="AK15" s="2">
        <f t="shared" si="59"/>
        <v>562115.2249996668</v>
      </c>
      <c r="AL15" s="2">
        <f t="shared" si="59"/>
        <v>556494.07274967013</v>
      </c>
      <c r="AM15" s="2">
        <f t="shared" si="59"/>
        <v>550929.13202217338</v>
      </c>
      <c r="AN15" s="2">
        <f t="shared" si="59"/>
        <v>545419.84070195165</v>
      </c>
      <c r="AO15" s="2">
        <f t="shared" si="59"/>
        <v>539965.64229493216</v>
      </c>
      <c r="AP15" s="2">
        <f t="shared" si="59"/>
        <v>534565.98587198288</v>
      </c>
      <c r="AQ15" s="2">
        <f t="shared" si="59"/>
        <v>529220.32601326308</v>
      </c>
      <c r="AR15" s="2">
        <f t="shared" si="59"/>
        <v>523928.12275313045</v>
      </c>
      <c r="AS15" s="2">
        <f t="shared" si="59"/>
        <v>518688.84152559913</v>
      </c>
      <c r="AT15" s="2">
        <f t="shared" si="59"/>
        <v>513501.95311034314</v>
      </c>
      <c r="AU15" s="2">
        <f t="shared" si="59"/>
        <v>508366.9335792397</v>
      </c>
      <c r="AV15" s="2">
        <f t="shared" si="59"/>
        <v>503283.26424344728</v>
      </c>
      <c r="AW15" s="2">
        <f t="shared" si="59"/>
        <v>498250.43160101282</v>
      </c>
      <c r="AX15" s="2">
        <f t="shared" si="59"/>
        <v>493267.92728500272</v>
      </c>
      <c r="AY15" s="2">
        <f t="shared" si="59"/>
        <v>488335.24801215268</v>
      </c>
      <c r="AZ15" s="2">
        <f t="shared" si="59"/>
        <v>483451.89553203114</v>
      </c>
      <c r="BA15" s="2">
        <f t="shared" si="59"/>
        <v>478617.37657671084</v>
      </c>
      <c r="BB15" s="2">
        <f t="shared" si="59"/>
        <v>473831.20281094371</v>
      </c>
      <c r="BC15" s="2">
        <f t="shared" si="59"/>
        <v>469092.89078283426</v>
      </c>
      <c r="BD15" s="2">
        <f t="shared" si="59"/>
        <v>464401.96187500592</v>
      </c>
      <c r="BE15" s="2">
        <f t="shared" si="59"/>
        <v>459757.94225625583</v>
      </c>
      <c r="BF15" s="2">
        <f t="shared" si="59"/>
        <v>455160.36283369327</v>
      </c>
      <c r="BG15" s="2">
        <f t="shared" si="59"/>
        <v>450608.75920535636</v>
      </c>
      <c r="BH15" s="2">
        <f t="shared" si="59"/>
        <v>446102.67161330278</v>
      </c>
      <c r="BI15" s="2">
        <f t="shared" si="59"/>
        <v>441641.64489716972</v>
      </c>
      <c r="BJ15" s="2">
        <f t="shared" si="59"/>
        <v>437225.228448198</v>
      </c>
      <c r="BK15" s="2">
        <f t="shared" si="59"/>
        <v>432852.976163716</v>
      </c>
      <c r="BL15" s="2">
        <f t="shared" si="59"/>
        <v>428524.44640207884</v>
      </c>
      <c r="BM15" s="2">
        <f t="shared" ref="BM15:CD15" si="60">+BL15*(1+$AE$25)</f>
        <v>424239.20193805808</v>
      </c>
      <c r="BN15" s="2">
        <f t="shared" si="60"/>
        <v>419996.80991867749</v>
      </c>
      <c r="BO15" s="2">
        <f t="shared" si="60"/>
        <v>415796.84181949071</v>
      </c>
      <c r="BP15" s="2">
        <f t="shared" si="60"/>
        <v>411638.8734012958</v>
      </c>
      <c r="BQ15" s="2">
        <f t="shared" si="60"/>
        <v>407522.48466728284</v>
      </c>
      <c r="BR15" s="2">
        <f t="shared" si="60"/>
        <v>403447.25982060999</v>
      </c>
      <c r="BS15" s="2">
        <f t="shared" si="60"/>
        <v>399412.78722240392</v>
      </c>
      <c r="BT15" s="2">
        <f t="shared" si="60"/>
        <v>395418.65935017989</v>
      </c>
      <c r="BU15" s="2">
        <f t="shared" si="60"/>
        <v>391464.47275667806</v>
      </c>
      <c r="BV15" s="2">
        <f t="shared" si="60"/>
        <v>387549.82802911126</v>
      </c>
      <c r="BW15" s="2">
        <f t="shared" si="60"/>
        <v>383674.32974882016</v>
      </c>
      <c r="BX15" s="2">
        <f t="shared" si="60"/>
        <v>379837.58645133197</v>
      </c>
      <c r="BY15" s="2">
        <f t="shared" si="60"/>
        <v>376039.21058681863</v>
      </c>
      <c r="BZ15" s="2">
        <f t="shared" si="60"/>
        <v>372278.81848095043</v>
      </c>
      <c r="CA15" s="2">
        <f t="shared" si="60"/>
        <v>368556.03029614093</v>
      </c>
      <c r="CB15" s="2">
        <f t="shared" si="60"/>
        <v>364870.46999317955</v>
      </c>
      <c r="CC15" s="2">
        <f t="shared" si="60"/>
        <v>361221.76529324776</v>
      </c>
      <c r="CD15" s="2">
        <f t="shared" si="60"/>
        <v>357609.54764031526</v>
      </c>
    </row>
    <row r="16" spans="1:82" x14ac:dyDescent="0.2">
      <c r="B16" t="s">
        <v>26</v>
      </c>
      <c r="C16" s="4">
        <f t="shared" ref="C16:I16" si="61">+C15/C17</f>
        <v>-0.41725469168900803</v>
      </c>
      <c r="D16" s="4">
        <f t="shared" si="61"/>
        <v>-0.34946813597866166</v>
      </c>
      <c r="E16" s="4">
        <f t="shared" si="61"/>
        <v>-0.35313171516582159</v>
      </c>
      <c r="F16" s="4">
        <f t="shared" si="61"/>
        <v>-0.35224185497967692</v>
      </c>
      <c r="G16" s="4">
        <f t="shared" si="61"/>
        <v>-0.39909499444750035</v>
      </c>
      <c r="H16" s="4">
        <f t="shared" si="61"/>
        <v>-0.32634286890306646</v>
      </c>
      <c r="I16" s="4">
        <f t="shared" si="61"/>
        <v>-0.31406824683285656</v>
      </c>
      <c r="J16" s="4">
        <f t="shared" ref="J16" si="62">+J15/J17</f>
        <v>-0.28995241525552701</v>
      </c>
      <c r="K16" s="4">
        <f>+K15/K17</f>
        <v>-0.35362344723578204</v>
      </c>
      <c r="L16" s="4">
        <f>+L15/L17</f>
        <v>-0.22670504391369062</v>
      </c>
      <c r="R16" s="1">
        <f t="shared" ref="R16:AA16" si="63">+R15/R17</f>
        <v>-1.7667482750945915</v>
      </c>
      <c r="S16" s="1">
        <f t="shared" si="63"/>
        <v>-2.1984411267444193</v>
      </c>
      <c r="T16" s="1">
        <f t="shared" si="63"/>
        <v>-1.4694667385718365</v>
      </c>
      <c r="U16" s="1">
        <f t="shared" si="63"/>
        <v>-0.31848515017397905</v>
      </c>
      <c r="V16" s="1">
        <f t="shared" si="63"/>
        <v>0.37988092539108298</v>
      </c>
      <c r="W16" s="1">
        <f t="shared" si="63"/>
        <v>1.0151559798519454</v>
      </c>
      <c r="X16" s="1">
        <f t="shared" si="63"/>
        <v>1.7387950417451128</v>
      </c>
      <c r="Y16" s="1">
        <f t="shared" si="63"/>
        <v>2.4243593282767693</v>
      </c>
      <c r="Z16" s="1">
        <f t="shared" si="63"/>
        <v>3.2500701671233165</v>
      </c>
      <c r="AA16" s="1">
        <f t="shared" si="63"/>
        <v>3.9741011924574741</v>
      </c>
      <c r="AB16" s="1">
        <f t="shared" ref="AB16:AC16" si="64">+AB15/AB17</f>
        <v>4.3066223963829966</v>
      </c>
      <c r="AC16" s="1">
        <f t="shared" si="64"/>
        <v>4.6571757723465428</v>
      </c>
      <c r="AD16" s="1">
        <f t="shared" ref="AD16" si="65">+AD15/AD17</f>
        <v>5.0266769900684327</v>
      </c>
      <c r="AE16" s="1">
        <f t="shared" ref="AE16" si="66">+AE15/AE17</f>
        <v>5.4160876433661853</v>
      </c>
      <c r="AF16" s="1">
        <f t="shared" ref="AF16" si="67">+AF15/AF17</f>
        <v>5.8264175477654918</v>
      </c>
    </row>
    <row r="17" spans="2:32" s="2" customFormat="1" x14ac:dyDescent="0.2">
      <c r="B17" s="2" t="s">
        <v>1</v>
      </c>
      <c r="C17" s="8">
        <v>93250</v>
      </c>
      <c r="D17" s="8">
        <v>94103</v>
      </c>
      <c r="E17" s="8">
        <v>94469</v>
      </c>
      <c r="F17" s="8">
        <v>94966</v>
      </c>
      <c r="G17" s="8">
        <v>96353</v>
      </c>
      <c r="H17" s="8">
        <v>97180</v>
      </c>
      <c r="I17" s="8">
        <v>97880</v>
      </c>
      <c r="J17" s="8">
        <v>98561</v>
      </c>
      <c r="K17" s="8">
        <v>100788</v>
      </c>
      <c r="L17" s="8">
        <v>101449</v>
      </c>
      <c r="M17" s="8"/>
      <c r="N17" s="8"/>
      <c r="R17" s="2">
        <v>17972</v>
      </c>
      <c r="S17" s="2">
        <v>34897</v>
      </c>
      <c r="T17" s="2">
        <v>94569</v>
      </c>
      <c r="U17" s="2">
        <f>L17</f>
        <v>101449</v>
      </c>
      <c r="V17" s="2">
        <f>+U17</f>
        <v>101449</v>
      </c>
      <c r="W17" s="2">
        <f t="shared" ref="W17:AA17" si="68">+V17</f>
        <v>101449</v>
      </c>
      <c r="X17" s="2">
        <f t="shared" si="68"/>
        <v>101449</v>
      </c>
      <c r="Y17" s="2">
        <f t="shared" si="68"/>
        <v>101449</v>
      </c>
      <c r="Z17" s="2">
        <f t="shared" si="68"/>
        <v>101449</v>
      </c>
      <c r="AA17" s="2">
        <f t="shared" si="68"/>
        <v>101449</v>
      </c>
      <c r="AB17" s="2">
        <f t="shared" ref="AB17:AC17" si="69">+AA17</f>
        <v>101449</v>
      </c>
      <c r="AC17" s="2">
        <f t="shared" si="69"/>
        <v>101449</v>
      </c>
      <c r="AD17" s="2">
        <f t="shared" ref="AD17:AF17" si="70">+AC17</f>
        <v>101449</v>
      </c>
      <c r="AE17" s="2">
        <f t="shared" si="70"/>
        <v>101449</v>
      </c>
      <c r="AF17" s="2">
        <f t="shared" si="70"/>
        <v>101449</v>
      </c>
    </row>
    <row r="19" spans="2:32" s="5" customFormat="1" x14ac:dyDescent="0.2">
      <c r="B19" s="5" t="s">
        <v>33</v>
      </c>
      <c r="C19" s="6"/>
      <c r="D19" s="6"/>
      <c r="E19" s="6"/>
      <c r="F19" s="6"/>
      <c r="G19" s="12">
        <f t="shared" ref="G19:M19" si="71">+G4/C4-1</f>
        <v>0.3133750564552551</v>
      </c>
      <c r="H19" s="12">
        <f t="shared" si="71"/>
        <v>0.33641778221546259</v>
      </c>
      <c r="I19" s="12">
        <f t="shared" si="71"/>
        <v>0.33107114093959722</v>
      </c>
      <c r="J19" s="12">
        <f t="shared" si="71"/>
        <v>0.32715480111477069</v>
      </c>
      <c r="K19" s="12">
        <f t="shared" si="71"/>
        <v>0.33089998034977408</v>
      </c>
      <c r="L19" s="12">
        <f t="shared" si="71"/>
        <v>0.26403259575872884</v>
      </c>
      <c r="M19" s="12">
        <f t="shared" si="71"/>
        <v>0.19397205460001943</v>
      </c>
      <c r="N19" s="6"/>
      <c r="S19" s="13">
        <f>+S4/R4-1</f>
        <v>0.58488191702565406</v>
      </c>
      <c r="T19" s="13">
        <f>+T4/S4-1</f>
        <v>0.49316697124372477</v>
      </c>
      <c r="U19" s="13">
        <f>+U4/T4-1</f>
        <v>0.32742117909213175</v>
      </c>
      <c r="V19" s="13">
        <f t="shared" ref="V19:AA19" si="72">+V4/U4-1</f>
        <v>0.19999999999999996</v>
      </c>
      <c r="W19" s="13">
        <f t="shared" si="72"/>
        <v>0.19999999999999996</v>
      </c>
      <c r="X19" s="13">
        <f t="shared" si="72"/>
        <v>0.19999999999999996</v>
      </c>
      <c r="Y19" s="13">
        <f t="shared" si="72"/>
        <v>0.14999999999999991</v>
      </c>
      <c r="Z19" s="13">
        <f t="shared" si="72"/>
        <v>0.14999999999999991</v>
      </c>
      <c r="AA19" s="13">
        <f t="shared" si="72"/>
        <v>0.10000000000000009</v>
      </c>
      <c r="AB19" s="13">
        <f t="shared" ref="AB19:AC19" si="73">+AB4/AA4-1</f>
        <v>5.0000000000000044E-2</v>
      </c>
      <c r="AC19" s="13">
        <f t="shared" si="73"/>
        <v>5.0000000000000044E-2</v>
      </c>
      <c r="AD19" s="13">
        <f t="shared" ref="AD19:AF19" si="74">+AD4/AC4-1</f>
        <v>5.0000000000000044E-2</v>
      </c>
      <c r="AE19" s="13">
        <f t="shared" si="74"/>
        <v>5.0000000000000044E-2</v>
      </c>
      <c r="AF19" s="13">
        <f t="shared" si="74"/>
        <v>5.0000000000000044E-2</v>
      </c>
    </row>
    <row r="20" spans="2:32" x14ac:dyDescent="0.2">
      <c r="B20" t="s">
        <v>36</v>
      </c>
      <c r="G20" s="7"/>
      <c r="H20" s="7"/>
      <c r="I20" s="7"/>
      <c r="J20" s="7"/>
      <c r="K20" s="7"/>
      <c r="L20" s="7"/>
      <c r="M20" s="7"/>
      <c r="R20" s="14">
        <f>+R6/R4</f>
        <v>0.63705548268538059</v>
      </c>
      <c r="S20" s="14">
        <f>+S6/S4</f>
        <v>0.67017035309933415</v>
      </c>
      <c r="T20" s="14">
        <f>+T6/T4</f>
        <v>0.67414314090696803</v>
      </c>
      <c r="U20" s="14">
        <f>+U6/U4</f>
        <v>0.69490885968630778</v>
      </c>
      <c r="V20" s="14">
        <f t="shared" ref="V20:AA20" si="75">+V6/V4</f>
        <v>0.71</v>
      </c>
      <c r="W20" s="14">
        <f t="shared" si="75"/>
        <v>0.72</v>
      </c>
      <c r="X20" s="14">
        <f t="shared" si="75"/>
        <v>0.72</v>
      </c>
      <c r="Y20" s="14">
        <f t="shared" si="75"/>
        <v>0.73</v>
      </c>
      <c r="Z20" s="14">
        <f t="shared" si="75"/>
        <v>0.73</v>
      </c>
      <c r="AA20" s="14">
        <f t="shared" si="75"/>
        <v>0.74</v>
      </c>
      <c r="AB20" s="14">
        <f t="shared" ref="AB20:AC20" si="76">+AB6/AB4</f>
        <v>0.74</v>
      </c>
      <c r="AC20" s="14">
        <f t="shared" si="76"/>
        <v>0.74</v>
      </c>
      <c r="AD20" s="14">
        <f t="shared" ref="AD20:AF20" si="77">+AD6/AD4</f>
        <v>0.74</v>
      </c>
      <c r="AE20" s="14">
        <f t="shared" si="77"/>
        <v>0.74</v>
      </c>
      <c r="AF20" s="14">
        <f t="shared" si="77"/>
        <v>0.74</v>
      </c>
    </row>
    <row r="22" spans="2:32" x14ac:dyDescent="0.2">
      <c r="B22" t="s">
        <v>34</v>
      </c>
      <c r="S22" s="2">
        <v>-2310</v>
      </c>
      <c r="T22" s="2">
        <v>-15447</v>
      </c>
      <c r="U22" s="2">
        <v>6850</v>
      </c>
      <c r="V22" s="2">
        <f>+U22+V15</f>
        <v>45388.539999999979</v>
      </c>
      <c r="W22" s="2">
        <f>+V22+W15</f>
        <v>148375.09899999999</v>
      </c>
      <c r="X22" s="2">
        <f t="shared" ref="X22:AA22" si="78">+W22+X15</f>
        <v>324774.1171899999</v>
      </c>
      <c r="Y22" s="2">
        <f t="shared" si="78"/>
        <v>570722.94668434979</v>
      </c>
      <c r="Z22" s="2">
        <f t="shared" si="78"/>
        <v>900439.31506884308</v>
      </c>
      <c r="AA22" s="2">
        <f t="shared" si="78"/>
        <v>1303607.9069424614</v>
      </c>
      <c r="AB22" s="2">
        <f t="shared" ref="AB22:AC22" si="79">+AA22+AB15</f>
        <v>1740510.44243312</v>
      </c>
      <c r="AC22" s="2">
        <f t="shared" si="79"/>
        <v>2212976.2673619045</v>
      </c>
      <c r="AD22" s="2">
        <f t="shared" ref="AD22:AF22" si="80">+AC22+AD15</f>
        <v>2722927.6213273569</v>
      </c>
      <c r="AE22" s="2">
        <f t="shared" si="80"/>
        <v>3272384.296659213</v>
      </c>
      <c r="AF22" s="2">
        <f t="shared" si="80"/>
        <v>3863468.5304624746</v>
      </c>
    </row>
    <row r="24" spans="2:32" x14ac:dyDescent="0.2">
      <c r="B24" t="s">
        <v>35</v>
      </c>
      <c r="F24" s="8">
        <v>166092</v>
      </c>
      <c r="G24" s="8"/>
      <c r="H24" s="8"/>
      <c r="I24" s="8"/>
      <c r="J24" s="8">
        <v>204269</v>
      </c>
    </row>
    <row r="25" spans="2:32" x14ac:dyDescent="0.2">
      <c r="J25" s="7">
        <f>+J24/F24-1</f>
        <v>0.22985453844857062</v>
      </c>
      <c r="AD25" s="5" t="s">
        <v>37</v>
      </c>
      <c r="AE25" s="13">
        <v>-0.01</v>
      </c>
    </row>
    <row r="26" spans="2:32" x14ac:dyDescent="0.2">
      <c r="AD26" t="s">
        <v>38</v>
      </c>
      <c r="AE26" s="14">
        <v>0.1</v>
      </c>
    </row>
    <row r="27" spans="2:32" x14ac:dyDescent="0.2">
      <c r="AD27" t="s">
        <v>39</v>
      </c>
      <c r="AE27" s="2">
        <f>NPV(AE26,V15:CD15)+Main!M5-Main!M6</f>
        <v>3788281.3042821041</v>
      </c>
    </row>
    <row r="28" spans="2:32" x14ac:dyDescent="0.2">
      <c r="AD28" t="s">
        <v>40</v>
      </c>
      <c r="AE28" s="1">
        <f>AE27/Main!M3/1000</f>
        <v>37.276406060489897</v>
      </c>
    </row>
  </sheetData>
  <hyperlinks>
    <hyperlink ref="A1" location="Main!A1" display="Main" xr:uid="{8A9493C5-4E90-4BE5-8B04-8BC2BCCFDC6F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Nichols Ringholm</dc:creator>
  <cp:lastModifiedBy>Sam Nichols Ringholm</cp:lastModifiedBy>
  <dcterms:created xsi:type="dcterms:W3CDTF">2024-09-25T17:13:19Z</dcterms:created>
  <dcterms:modified xsi:type="dcterms:W3CDTF">2025-10-08T11:57:08Z</dcterms:modified>
</cp:coreProperties>
</file>