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CF68E638-7F46-4C9A-A0D5-2E1BB958808A}" xr6:coauthVersionLast="47" xr6:coauthVersionMax="47" xr10:uidLastSave="{00000000-0000-0000-0000-000000000000}"/>
  <bookViews>
    <workbookView xWindow="2685" yWindow="2685" windowWidth="18075" windowHeight="16020" xr2:uid="{2C864FC3-FEC7-42EE-9237-2FCEAC75C44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6" i="2" l="1"/>
  <c r="P27" i="2"/>
  <c r="P39" i="2"/>
  <c r="P37" i="2"/>
  <c r="P34" i="2"/>
  <c r="I16" i="2"/>
  <c r="I10" i="2"/>
  <c r="I18" i="2"/>
  <c r="I14" i="2"/>
  <c r="M18" i="2"/>
  <c r="M16" i="2"/>
  <c r="M14" i="2"/>
  <c r="I7" i="2"/>
  <c r="I9" i="2" s="1"/>
  <c r="I11" i="2" s="1"/>
  <c r="I25" i="2" s="1"/>
  <c r="M7" i="2"/>
  <c r="M9" i="2" s="1"/>
  <c r="J16" i="2"/>
  <c r="J10" i="2"/>
  <c r="N10" i="2"/>
  <c r="J18" i="2"/>
  <c r="N18" i="2"/>
  <c r="N16" i="2"/>
  <c r="J14" i="2"/>
  <c r="N14" i="2"/>
  <c r="J7" i="2"/>
  <c r="J9" i="2" s="1"/>
  <c r="J11" i="2" s="1"/>
  <c r="N7" i="2"/>
  <c r="N9" i="2" s="1"/>
  <c r="K10" i="2"/>
  <c r="O16" i="2"/>
  <c r="O10" i="2"/>
  <c r="K18" i="2"/>
  <c r="K16" i="2"/>
  <c r="O18" i="2"/>
  <c r="K14" i="2"/>
  <c r="O14" i="2"/>
  <c r="K9" i="2"/>
  <c r="O9" i="2"/>
  <c r="O24" i="2" s="1"/>
  <c r="L18" i="2"/>
  <c r="L10" i="2"/>
  <c r="P10" i="2"/>
  <c r="P18" i="2"/>
  <c r="P16" i="2"/>
  <c r="L14" i="2"/>
  <c r="P14" i="2"/>
  <c r="P9" i="2"/>
  <c r="L9" i="2"/>
  <c r="L11" i="2" s="1"/>
  <c r="L25" i="2" s="1"/>
  <c r="P4" i="1"/>
  <c r="M24" i="2" l="1"/>
  <c r="M11" i="2"/>
  <c r="N11" i="2"/>
  <c r="N25" i="2" s="1"/>
  <c r="N24" i="2"/>
  <c r="J25" i="2"/>
  <c r="J15" i="2"/>
  <c r="O11" i="2"/>
  <c r="O25" i="2" s="1"/>
  <c r="K11" i="2"/>
  <c r="K25" i="2" s="1"/>
  <c r="P24" i="2"/>
  <c r="I15" i="2"/>
  <c r="I17" i="2" s="1"/>
  <c r="I19" i="2" s="1"/>
  <c r="I20" i="2" s="1"/>
  <c r="J17" i="2"/>
  <c r="J19" i="2" s="1"/>
  <c r="J20" i="2" s="1"/>
  <c r="N15" i="2"/>
  <c r="N17" i="2" s="1"/>
  <c r="N19" i="2" s="1"/>
  <c r="N20" i="2" s="1"/>
  <c r="O15" i="2"/>
  <c r="O17" i="2" s="1"/>
  <c r="O19" i="2" s="1"/>
  <c r="O20" i="2" s="1"/>
  <c r="K15" i="2"/>
  <c r="K17" i="2" s="1"/>
  <c r="K19" i="2" s="1"/>
  <c r="K20" i="2" s="1"/>
  <c r="P11" i="2"/>
  <c r="L15" i="2"/>
  <c r="L17" i="2" s="1"/>
  <c r="L19" i="2" s="1"/>
  <c r="L20" i="2" s="1"/>
  <c r="M25" i="2" l="1"/>
  <c r="M15" i="2"/>
  <c r="M17" i="2" s="1"/>
  <c r="M19" i="2" s="1"/>
  <c r="M20" i="2" s="1"/>
  <c r="P25" i="2"/>
  <c r="P15" i="2"/>
  <c r="P17" i="2" s="1"/>
  <c r="P19" i="2" s="1"/>
  <c r="P20" i="2" s="1"/>
</calcChain>
</file>

<file path=xl/sharedStrings.xml><?xml version="1.0" encoding="utf-8"?>
<sst xmlns="http://schemas.openxmlformats.org/spreadsheetml/2006/main" count="72" uniqueCount="68">
  <si>
    <t>Price</t>
  </si>
  <si>
    <t>Shares</t>
  </si>
  <si>
    <t>MC</t>
  </si>
  <si>
    <t>Cash</t>
  </si>
  <si>
    <t>Debt</t>
  </si>
  <si>
    <t>EV</t>
  </si>
  <si>
    <t>Q222</t>
  </si>
  <si>
    <t>Main</t>
  </si>
  <si>
    <t>Revenue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</si>
  <si>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</si>
  <si>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</si>
  <si>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</si>
  <si>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</si>
  <si>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</si>
  <si>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</si>
  <si>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</si>
  <si>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</si>
  <si>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</si>
  <si>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</si>
  <si>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</si>
  <si>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</si>
  <si>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Endoscopy</t>
  </si>
  <si>
    <t>Q122</t>
  </si>
  <si>
    <t>Q322</t>
  </si>
  <si>
    <t>Q422</t>
  </si>
  <si>
    <t>Urology &amp; Pelvic</t>
  </si>
  <si>
    <t>Neuromodulation</t>
  </si>
  <si>
    <t>Cardiology</t>
  </si>
  <si>
    <t>Peripheral</t>
  </si>
  <si>
    <t>COGS</t>
  </si>
  <si>
    <t>Gross Profit</t>
  </si>
  <si>
    <t>SG&amp;A</t>
  </si>
  <si>
    <t>R&amp;D</t>
  </si>
  <si>
    <t>OpEx</t>
  </si>
  <si>
    <t>OpInc</t>
  </si>
  <si>
    <t>Interest</t>
  </si>
  <si>
    <t>Pretax</t>
  </si>
  <si>
    <t>Taxes</t>
  </si>
  <si>
    <t>Net Income</t>
  </si>
  <si>
    <t>EPS</t>
  </si>
  <si>
    <t>Revenue y/y</t>
  </si>
  <si>
    <t>Gross Margin</t>
  </si>
  <si>
    <t>Pharma</t>
  </si>
  <si>
    <t>AR</t>
  </si>
  <si>
    <t>Inventories</t>
  </si>
  <si>
    <t>Prepaids</t>
  </si>
  <si>
    <t>OCA</t>
  </si>
  <si>
    <t>PP&amp;E</t>
  </si>
  <si>
    <t>Goodwill</t>
  </si>
  <si>
    <t>DTA</t>
  </si>
  <si>
    <t>OLTA</t>
  </si>
  <si>
    <t>Assets</t>
  </si>
  <si>
    <t>Net Cash</t>
  </si>
  <si>
    <t>AP</t>
  </si>
  <si>
    <t>AE</t>
  </si>
  <si>
    <t>OCL</t>
  </si>
  <si>
    <t>DT</t>
  </si>
  <si>
    <t>L+SE</t>
  </si>
  <si>
    <t>SE</t>
  </si>
  <si>
    <t>OLTL</t>
  </si>
  <si>
    <t>Founded</t>
  </si>
  <si>
    <t>CEO: Micheal F. Mahoney</t>
  </si>
  <si>
    <t>Cardiovascular, Rhythm Management, Endoscopy, Neuromodulation, and Urology</t>
  </si>
  <si>
    <t>Focus Areas</t>
  </si>
  <si>
    <t>Key Products:</t>
  </si>
  <si>
    <t>Stents, pacemakers, catheters, defibrillators, and deep brain stimulation systems</t>
  </si>
  <si>
    <t>Recent Highlights:</t>
  </si>
  <si>
    <t>Expanding structural heart portfolio, leadership in minimally invasive surgery, and strong growth in electrophysiology and peripheral interventions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</si>
</sst>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4" fontId="0" fillId="0" borderId="0" xfId="0" applyNumberFormat="1"/>
    <xf numFmtId="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47625</xdr:rowOff>
    </xdr:from>
    <xdr:to>
      <xdr:col>16</xdr:col>
      <xdr:colOff>19050</xdr:colOff>
      <xdr:row>51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CA6D2C2-1A1F-2D9B-537D-6439924D523D}"/>
            </a:ext>
          </a:extLst>
        </xdr:cNvPr>
        <xdr:cNvCxnSpPr/>
      </xdr:nvCxnSpPr>
      <xdr:spPr>
        <a:xfrm>
          <a:off x="9867900" y="47625"/>
          <a:ext cx="0" cy="801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ADA3-EE2B-46BC-833A-8FA6B355DA7C}">
  <dimension ref="B2:Q10"/>
  <sheetViews>
    <sheetView tabSelected="1" workbookViewId="0">
      <selection activeCell="L4" sqref="L4"/>
    </sheetView>
  </sheetViews>
  <sheetFormatPr defaultRowHeight="12.75" x14ac:dyDescent="0.2"/>
  <sheetData>
    <row r="2" spans="2:17" x14ac:dyDescent="0.2">
      <c r="O2" t="s">
        <v>0</v>
      </c>
      <c r="P2">
        <v>41.23</v>
      </c>
    </row>
    <row r="3" spans="2:17" x14ac:dyDescent="0.2">
      <c r="B3" s="9" t="s">
        <v>63</v>
      </c>
      <c r="O3" t="s">
        <v>1</v>
      </c>
      <c r="P3" s="1">
        <v>1437.8</v>
      </c>
      <c r="Q3" s="2" t="s">
        <v>6</v>
      </c>
    </row>
    <row r="4" spans="2:17" x14ac:dyDescent="0.2">
      <c r="B4" t="s">
        <v>62</v>
      </c>
      <c r="O4" t="s">
        <v>2</v>
      </c>
      <c r="P4" s="1">
        <f>+P2*P3</f>
        <v>59280.493999999992</v>
      </c>
    </row>
    <row r="5" spans="2:17" x14ac:dyDescent="0.2">
      <c r="B5" s="9" t="s">
        <v>64</v>
      </c>
      <c r="O5" t="s">
        <v>3</v>
      </c>
      <c r="P5" s="1"/>
    </row>
    <row r="6" spans="2:17" x14ac:dyDescent="0.2">
      <c r="B6" t="s">
        <v>65</v>
      </c>
      <c r="O6" t="s">
        <v>4</v>
      </c>
      <c r="P6" s="1"/>
    </row>
    <row r="7" spans="2:17" x14ac:dyDescent="0.2">
      <c r="B7" s="9" t="s">
        <v>66</v>
      </c>
      <c r="O7" t="s">
        <v>5</v>
      </c>
      <c r="P7" s="1"/>
    </row>
    <row r="8" spans="2:17" x14ac:dyDescent="0.2">
      <c r="B8" t="s">
        <v>67</v>
      </c>
    </row>
    <row r="9" spans="2:17" x14ac:dyDescent="0.2">
      <c r="O9" t="s">
        <v>60</v>
      </c>
      <c r="P9">
        <v>1979</v>
      </c>
    </row>
    <row r="10" spans="2:17" x14ac:dyDescent="0.2">
      <c r="O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4D50-EACF-4D85-BAA6-90718FFFCCB2}">
  <dimension ref="A1:R46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2.75" x14ac:dyDescent="0.2"/>
  <cols>
    <col min="1" max="1" width="5" bestFit="1" customWidth="1"/>
    <col min="2" max="2" width="14.7109375" bestFit="1" customWidth="1"/>
    <col min="3" max="14" width="9.140625" style="2"/>
  </cols>
  <sheetData>
    <row r="1" spans="1:18" x14ac:dyDescent="0.2">
      <c r="A1" s="6" t="s">
        <v>7</v>
      </c>
    </row>
    <row r="2" spans="1:18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22</v>
      </c>
      <c r="P2" s="2" t="s">
        <v>6</v>
      </c>
      <c r="Q2" s="2" t="s">
        <v>23</v>
      </c>
      <c r="R2" s="2" t="s">
        <v>24</v>
      </c>
    </row>
    <row r="3" spans="1:18" x14ac:dyDescent="0.2">
      <c r="B3" t="s">
        <v>42</v>
      </c>
      <c r="I3" s="2">
        <v>74</v>
      </c>
      <c r="J3" s="2">
        <v>36</v>
      </c>
      <c r="K3" s="2">
        <v>13</v>
      </c>
      <c r="O3" s="2"/>
      <c r="P3" s="2"/>
      <c r="Q3" s="2"/>
      <c r="R3" s="2"/>
    </row>
    <row r="4" spans="1:18" s="1" customFormat="1" x14ac:dyDescent="0.2">
      <c r="B4" s="1" t="s">
        <v>21</v>
      </c>
      <c r="C4" s="3"/>
      <c r="D4" s="3"/>
      <c r="E4" s="3"/>
      <c r="F4" s="3"/>
      <c r="G4" s="3"/>
      <c r="H4" s="3"/>
      <c r="I4" s="3">
        <v>475</v>
      </c>
      <c r="J4" s="3">
        <v>515</v>
      </c>
      <c r="K4" s="3">
        <v>499</v>
      </c>
      <c r="L4" s="3">
        <v>551</v>
      </c>
      <c r="M4" s="3">
        <v>533</v>
      </c>
      <c r="N4" s="3">
        <v>558</v>
      </c>
      <c r="O4" s="1">
        <v>531</v>
      </c>
      <c r="P4" s="1">
        <v>560</v>
      </c>
    </row>
    <row r="5" spans="1:18" s="1" customFormat="1" x14ac:dyDescent="0.2">
      <c r="B5" s="1" t="s">
        <v>25</v>
      </c>
      <c r="C5" s="3"/>
      <c r="D5" s="3"/>
      <c r="E5" s="3"/>
      <c r="F5" s="3"/>
      <c r="G5" s="3"/>
      <c r="H5" s="3"/>
      <c r="I5" s="3">
        <v>350</v>
      </c>
      <c r="J5" s="3">
        <v>376</v>
      </c>
      <c r="K5" s="3">
        <v>361</v>
      </c>
      <c r="L5" s="3">
        <v>397</v>
      </c>
      <c r="M5" s="3">
        <v>384</v>
      </c>
      <c r="N5" s="3">
        <v>441</v>
      </c>
      <c r="O5" s="1">
        <v>413</v>
      </c>
      <c r="P5" s="1">
        <v>450</v>
      </c>
    </row>
    <row r="6" spans="1:18" s="1" customFormat="1" x14ac:dyDescent="0.2">
      <c r="B6" s="1" t="s">
        <v>26</v>
      </c>
      <c r="C6" s="3"/>
      <c r="D6" s="3"/>
      <c r="E6" s="3"/>
      <c r="F6" s="3"/>
      <c r="G6" s="3"/>
      <c r="H6" s="3"/>
      <c r="I6" s="3">
        <v>216</v>
      </c>
      <c r="J6" s="3">
        <v>232</v>
      </c>
      <c r="K6" s="3">
        <v>198</v>
      </c>
      <c r="L6" s="3">
        <v>247</v>
      </c>
      <c r="M6" s="3">
        <v>221</v>
      </c>
      <c r="N6" s="3">
        <v>244</v>
      </c>
      <c r="O6" s="1">
        <v>209</v>
      </c>
      <c r="P6" s="1">
        <v>239</v>
      </c>
    </row>
    <row r="7" spans="1:18" s="1" customFormat="1" x14ac:dyDescent="0.2">
      <c r="B7" s="1" t="s">
        <v>27</v>
      </c>
      <c r="C7" s="3"/>
      <c r="D7" s="3"/>
      <c r="E7" s="3"/>
      <c r="F7" s="3"/>
      <c r="G7" s="3"/>
      <c r="H7" s="3"/>
      <c r="I7" s="3">
        <f>465+76+586</f>
        <v>1127</v>
      </c>
      <c r="J7" s="3">
        <f>451+85+585</f>
        <v>1121</v>
      </c>
      <c r="K7" s="3">
        <v>1248</v>
      </c>
      <c r="L7" s="3">
        <v>1410</v>
      </c>
      <c r="M7" s="3">
        <f>512+86+744</f>
        <v>1342</v>
      </c>
      <c r="N7" s="3">
        <f>514+100+808</f>
        <v>1422</v>
      </c>
      <c r="O7" s="1">
        <v>1407</v>
      </c>
      <c r="P7" s="1">
        <v>1517</v>
      </c>
    </row>
    <row r="8" spans="1:18" s="1" customFormat="1" x14ac:dyDescent="0.2">
      <c r="B8" s="1" t="s">
        <v>28</v>
      </c>
      <c r="C8" s="3"/>
      <c r="D8" s="3"/>
      <c r="E8" s="3"/>
      <c r="F8" s="3"/>
      <c r="G8" s="3"/>
      <c r="H8" s="3"/>
      <c r="I8" s="3">
        <v>416</v>
      </c>
      <c r="J8" s="3">
        <v>429</v>
      </c>
      <c r="K8" s="3">
        <v>433</v>
      </c>
      <c r="L8" s="3">
        <v>473</v>
      </c>
      <c r="M8" s="3">
        <v>452</v>
      </c>
      <c r="N8" s="3">
        <v>462</v>
      </c>
      <c r="O8" s="1">
        <v>465</v>
      </c>
      <c r="P8" s="1">
        <v>478</v>
      </c>
    </row>
    <row r="9" spans="1:18" s="4" customFormat="1" x14ac:dyDescent="0.2">
      <c r="B9" s="4" t="s">
        <v>8</v>
      </c>
      <c r="C9" s="5"/>
      <c r="D9" s="5"/>
      <c r="E9" s="5"/>
      <c r="F9" s="5"/>
      <c r="G9" s="5"/>
      <c r="H9" s="5"/>
      <c r="I9" s="5">
        <f>SUM(I3:I8)</f>
        <v>2658</v>
      </c>
      <c r="J9" s="5">
        <f>SUM(J3:J8)</f>
        <v>2709</v>
      </c>
      <c r="K9" s="5">
        <f>SUM(K3:K8)</f>
        <v>2752</v>
      </c>
      <c r="L9" s="5">
        <f>SUM(L4:L8)</f>
        <v>3078</v>
      </c>
      <c r="M9" s="5">
        <f>SUM(M4:M8)</f>
        <v>2932</v>
      </c>
      <c r="N9" s="5">
        <f>SUM(N4:N8)</f>
        <v>3127</v>
      </c>
      <c r="O9" s="5">
        <f>SUM(O4:O8)</f>
        <v>3025</v>
      </c>
      <c r="P9" s="5">
        <f>SUM(P4:P8)</f>
        <v>3244</v>
      </c>
    </row>
    <row r="10" spans="1:18" s="1" customFormat="1" x14ac:dyDescent="0.2">
      <c r="B10" s="1" t="s">
        <v>29</v>
      </c>
      <c r="C10" s="3"/>
      <c r="D10" s="3"/>
      <c r="E10" s="3"/>
      <c r="F10" s="3"/>
      <c r="G10" s="3"/>
      <c r="H10" s="3"/>
      <c r="I10" s="3">
        <f>869-30-15-6</f>
        <v>818</v>
      </c>
      <c r="J10" s="3">
        <f>1000-25-17-7</f>
        <v>951</v>
      </c>
      <c r="K10" s="3">
        <f>894-14-18-7</f>
        <v>855</v>
      </c>
      <c r="L10" s="1">
        <f>945+7+22+8</f>
        <v>982</v>
      </c>
      <c r="M10" s="3">
        <v>900</v>
      </c>
      <c r="N10" s="3">
        <f>971-32-20-9</f>
        <v>910</v>
      </c>
      <c r="O10" s="1">
        <f>955-27-18-10</f>
        <v>900</v>
      </c>
      <c r="P10" s="1">
        <f>1011+23+17+11</f>
        <v>1062</v>
      </c>
    </row>
    <row r="11" spans="1:18" s="1" customFormat="1" x14ac:dyDescent="0.2">
      <c r="B11" s="1" t="s">
        <v>30</v>
      </c>
      <c r="C11" s="3"/>
      <c r="D11" s="3"/>
      <c r="E11" s="3"/>
      <c r="F11" s="3"/>
      <c r="G11" s="3"/>
      <c r="H11" s="3"/>
      <c r="I11" s="3">
        <f t="shared" ref="I11:P11" si="0">+I9-I10</f>
        <v>1840</v>
      </c>
      <c r="J11" s="3">
        <f t="shared" si="0"/>
        <v>1758</v>
      </c>
      <c r="K11" s="1">
        <f t="shared" si="0"/>
        <v>1897</v>
      </c>
      <c r="L11" s="1">
        <f t="shared" si="0"/>
        <v>2096</v>
      </c>
      <c r="M11" s="1">
        <f t="shared" si="0"/>
        <v>2032</v>
      </c>
      <c r="N11" s="3">
        <f t="shared" si="0"/>
        <v>2217</v>
      </c>
      <c r="O11" s="1">
        <f t="shared" si="0"/>
        <v>2125</v>
      </c>
      <c r="P11" s="1">
        <f t="shared" si="0"/>
        <v>2182</v>
      </c>
    </row>
    <row r="12" spans="1:18" s="1" customFormat="1" x14ac:dyDescent="0.2">
      <c r="B12" s="1" t="s">
        <v>31</v>
      </c>
      <c r="C12" s="3"/>
      <c r="D12" s="3"/>
      <c r="E12" s="3"/>
      <c r="F12" s="3"/>
      <c r="G12" s="3"/>
      <c r="H12" s="3"/>
      <c r="I12" s="3">
        <v>984</v>
      </c>
      <c r="J12" s="3">
        <v>1027</v>
      </c>
      <c r="K12" s="3">
        <v>1019</v>
      </c>
      <c r="L12" s="3">
        <v>1121</v>
      </c>
      <c r="M12" s="3">
        <v>1066</v>
      </c>
      <c r="N12" s="3">
        <v>1153</v>
      </c>
      <c r="O12" s="1">
        <v>1060</v>
      </c>
      <c r="P12" s="1">
        <v>1165</v>
      </c>
    </row>
    <row r="13" spans="1:18" s="1" customFormat="1" x14ac:dyDescent="0.2">
      <c r="B13" s="1" t="s">
        <v>32</v>
      </c>
      <c r="C13" s="3"/>
      <c r="D13" s="3"/>
      <c r="E13" s="3"/>
      <c r="F13" s="3"/>
      <c r="G13" s="3"/>
      <c r="H13" s="3"/>
      <c r="I13" s="3">
        <v>315</v>
      </c>
      <c r="J13" s="3">
        <v>286</v>
      </c>
      <c r="K13" s="3">
        <v>276</v>
      </c>
      <c r="L13" s="3">
        <v>298</v>
      </c>
      <c r="M13" s="3">
        <v>310</v>
      </c>
      <c r="N13" s="3">
        <v>320</v>
      </c>
      <c r="O13" s="1">
        <v>319</v>
      </c>
      <c r="P13" s="1">
        <v>335</v>
      </c>
    </row>
    <row r="14" spans="1:18" x14ac:dyDescent="0.2">
      <c r="B14" s="1" t="s">
        <v>33</v>
      </c>
      <c r="I14" s="3">
        <f>+I12+I13</f>
        <v>1299</v>
      </c>
      <c r="J14" s="3">
        <f>+J12+J13</f>
        <v>1313</v>
      </c>
      <c r="K14" s="1">
        <f>+K12+K13</f>
        <v>1295</v>
      </c>
      <c r="L14" s="1">
        <f>L13+L12</f>
        <v>1419</v>
      </c>
      <c r="M14" s="3">
        <f>+M12+M13</f>
        <v>1376</v>
      </c>
      <c r="N14" s="3">
        <f>+N12+N13</f>
        <v>1473</v>
      </c>
      <c r="O14" s="1">
        <f>+O12+O13</f>
        <v>1379</v>
      </c>
      <c r="P14" s="1">
        <f>P13+P12</f>
        <v>1500</v>
      </c>
    </row>
    <row r="15" spans="1:18" x14ac:dyDescent="0.2">
      <c r="B15" s="1" t="s">
        <v>34</v>
      </c>
      <c r="I15" s="3">
        <f>+I11-I14</f>
        <v>541</v>
      </c>
      <c r="J15" s="3">
        <f>+J11-J14</f>
        <v>445</v>
      </c>
      <c r="K15" s="1">
        <f>+K11-K14</f>
        <v>602</v>
      </c>
      <c r="L15" s="1">
        <f>L11-L14</f>
        <v>677</v>
      </c>
      <c r="M15" s="3">
        <f>+M11-M14</f>
        <v>656</v>
      </c>
      <c r="N15" s="3">
        <f>+N11-N14</f>
        <v>744</v>
      </c>
      <c r="O15" s="1">
        <f>+O11-O14</f>
        <v>746</v>
      </c>
      <c r="P15" s="1">
        <f>P11-P14</f>
        <v>682</v>
      </c>
    </row>
    <row r="16" spans="1:18" x14ac:dyDescent="0.2">
      <c r="B16" s="1" t="s">
        <v>35</v>
      </c>
      <c r="I16" s="2">
        <f>-86-12+64-65</f>
        <v>-99</v>
      </c>
      <c r="J16" s="2">
        <f>-14-96+352-363</f>
        <v>-121</v>
      </c>
      <c r="K16" s="2">
        <f>-12-82+37</f>
        <v>-57</v>
      </c>
      <c r="L16" s="2">
        <v>-86</v>
      </c>
      <c r="M16" s="2">
        <f>-86+181+14</f>
        <v>109</v>
      </c>
      <c r="N16" s="2">
        <f>-11-87+26</f>
        <v>-72</v>
      </c>
      <c r="O16">
        <f>-12-279-31+194</f>
        <v>-128</v>
      </c>
      <c r="P16">
        <f>-11-64-14</f>
        <v>-89</v>
      </c>
    </row>
    <row r="17" spans="2:16" x14ac:dyDescent="0.2">
      <c r="B17" s="1" t="s">
        <v>36</v>
      </c>
      <c r="I17" s="3">
        <f>+I15+I16</f>
        <v>442</v>
      </c>
      <c r="J17" s="3">
        <f>+J15+J16</f>
        <v>324</v>
      </c>
      <c r="K17" s="3">
        <f>+K15+K16</f>
        <v>545</v>
      </c>
      <c r="L17" s="1">
        <f t="shared" ref="L17" si="1">+L15+L16</f>
        <v>591</v>
      </c>
      <c r="M17" s="1">
        <f>+M15+M16</f>
        <v>765</v>
      </c>
      <c r="N17" s="3">
        <f>+N15+N16</f>
        <v>672</v>
      </c>
      <c r="O17" s="1">
        <f>+O15+O16</f>
        <v>618</v>
      </c>
      <c r="P17" s="1">
        <f>+P15+P16</f>
        <v>593</v>
      </c>
    </row>
    <row r="18" spans="2:16" x14ac:dyDescent="0.2">
      <c r="B18" s="1" t="s">
        <v>37</v>
      </c>
      <c r="I18" s="2">
        <f>72+14</f>
        <v>86</v>
      </c>
      <c r="J18" s="2">
        <f>96+14</f>
        <v>110</v>
      </c>
      <c r="K18" s="2">
        <f>-16+14</f>
        <v>-2</v>
      </c>
      <c r="L18" s="2">
        <f>37+14</f>
        <v>51</v>
      </c>
      <c r="M18" s="2">
        <f>64+14</f>
        <v>78</v>
      </c>
      <c r="N18" s="2">
        <f>26+14</f>
        <v>40</v>
      </c>
      <c r="O18">
        <f>45+14</f>
        <v>59</v>
      </c>
      <c r="P18">
        <f>85+14</f>
        <v>99</v>
      </c>
    </row>
    <row r="19" spans="2:16" x14ac:dyDescent="0.2">
      <c r="B19" s="1" t="s">
        <v>38</v>
      </c>
      <c r="I19" s="3">
        <f>+I17-I18</f>
        <v>356</v>
      </c>
      <c r="J19" s="3">
        <f>+J17-J18</f>
        <v>214</v>
      </c>
      <c r="K19" s="3">
        <f>+K17-K18</f>
        <v>547</v>
      </c>
      <c r="L19" s="1">
        <f t="shared" ref="L19:O19" si="2">+L17-L18</f>
        <v>540</v>
      </c>
      <c r="M19" s="1">
        <f t="shared" si="2"/>
        <v>687</v>
      </c>
      <c r="N19" s="1">
        <f t="shared" si="2"/>
        <v>632</v>
      </c>
      <c r="O19" s="1">
        <f t="shared" si="2"/>
        <v>559</v>
      </c>
      <c r="P19" s="1">
        <f>+P17-P18</f>
        <v>494</v>
      </c>
    </row>
    <row r="20" spans="2:16" x14ac:dyDescent="0.2">
      <c r="B20" s="1" t="s">
        <v>39</v>
      </c>
      <c r="I20" s="7">
        <f t="shared" ref="I20:O20" si="3">+I19/I21</f>
        <v>0.24879446502201411</v>
      </c>
      <c r="J20" s="7">
        <f t="shared" si="3"/>
        <v>0.14956667598546269</v>
      </c>
      <c r="K20" s="7">
        <f t="shared" si="3"/>
        <v>0.38230360637405647</v>
      </c>
      <c r="L20" s="7">
        <f t="shared" si="3"/>
        <v>0.37696335078534032</v>
      </c>
      <c r="M20" s="7">
        <f t="shared" si="3"/>
        <v>0.47854555586514352</v>
      </c>
      <c r="N20" s="7">
        <f t="shared" si="3"/>
        <v>0.44005013229355244</v>
      </c>
      <c r="O20" s="7">
        <f t="shared" si="3"/>
        <v>0.38862625139043377</v>
      </c>
      <c r="P20" s="7">
        <f>+P19/P21</f>
        <v>0.34358047016274867</v>
      </c>
    </row>
    <row r="21" spans="2:16" x14ac:dyDescent="0.2">
      <c r="B21" s="1" t="s">
        <v>1</v>
      </c>
      <c r="I21" s="3">
        <v>1430.9</v>
      </c>
      <c r="J21" s="3">
        <v>1430.8</v>
      </c>
      <c r="K21" s="3">
        <v>1430.8</v>
      </c>
      <c r="L21" s="3">
        <v>1432.5</v>
      </c>
      <c r="M21" s="3">
        <v>1435.6</v>
      </c>
      <c r="N21" s="3">
        <v>1436.2</v>
      </c>
      <c r="O21" s="1">
        <v>1438.4</v>
      </c>
      <c r="P21" s="1">
        <v>1437.8</v>
      </c>
    </row>
    <row r="24" spans="2:16" x14ac:dyDescent="0.2">
      <c r="B24" s="1" t="s">
        <v>40</v>
      </c>
      <c r="M24" s="8">
        <f>M9/I9-1</f>
        <v>0.10308502633559069</v>
      </c>
      <c r="N24" s="8">
        <f>N9/J9-1</f>
        <v>0.15430047988187523</v>
      </c>
      <c r="O24" s="8">
        <f>O9/K9-1</f>
        <v>9.920058139534893E-2</v>
      </c>
      <c r="P24" s="8">
        <f>P9/L9-1</f>
        <v>5.3931124106562756E-2</v>
      </c>
    </row>
    <row r="25" spans="2:16" x14ac:dyDescent="0.2">
      <c r="B25" s="1" t="s">
        <v>41</v>
      </c>
      <c r="I25" s="8">
        <f t="shared" ref="I25:P25" si="4">+I11/I9</f>
        <v>0.6922498118886381</v>
      </c>
      <c r="J25" s="8">
        <f t="shared" si="4"/>
        <v>0.64894795127353266</v>
      </c>
      <c r="K25" s="8">
        <f t="shared" si="4"/>
        <v>0.68931686046511631</v>
      </c>
      <c r="L25" s="8">
        <f t="shared" si="4"/>
        <v>0.68096166341780373</v>
      </c>
      <c r="M25" s="8">
        <f t="shared" si="4"/>
        <v>0.69304229195088674</v>
      </c>
      <c r="N25" s="8">
        <f t="shared" si="4"/>
        <v>0.70898624880076755</v>
      </c>
      <c r="O25" s="8">
        <f t="shared" si="4"/>
        <v>0.7024793388429752</v>
      </c>
      <c r="P25" s="8">
        <f t="shared" si="4"/>
        <v>0.6726263871763255</v>
      </c>
    </row>
    <row r="27" spans="2:16" x14ac:dyDescent="0.2">
      <c r="B27" t="s">
        <v>52</v>
      </c>
      <c r="P27" s="1">
        <f>+P28-P39</f>
        <v>-8696</v>
      </c>
    </row>
    <row r="28" spans="2:16" s="1" customFormat="1" x14ac:dyDescent="0.2">
      <c r="B28" s="1" t="s">
        <v>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P28" s="1">
        <v>276</v>
      </c>
    </row>
    <row r="29" spans="2:16" s="1" customFormat="1" x14ac:dyDescent="0.2">
      <c r="B29" s="1" t="s">
        <v>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P29" s="1">
        <v>1917</v>
      </c>
    </row>
    <row r="30" spans="2:16" s="1" customFormat="1" x14ac:dyDescent="0.2">
      <c r="B30" s="1" t="s">
        <v>44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P30" s="1">
        <v>1752</v>
      </c>
    </row>
    <row r="31" spans="2:16" s="1" customFormat="1" x14ac:dyDescent="0.2">
      <c r="B31" s="1" t="s">
        <v>45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P31" s="1">
        <v>264</v>
      </c>
    </row>
    <row r="32" spans="2:16" s="1" customFormat="1" x14ac:dyDescent="0.2">
      <c r="B32" s="1" t="s">
        <v>46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P32" s="1">
        <v>874</v>
      </c>
    </row>
    <row r="33" spans="2:16" s="1" customFormat="1" x14ac:dyDescent="0.2">
      <c r="B33" s="1" t="s">
        <v>47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P33" s="1">
        <v>2246</v>
      </c>
    </row>
    <row r="34" spans="2:16" s="1" customFormat="1" x14ac:dyDescent="0.2">
      <c r="B34" s="1" t="s">
        <v>48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P34" s="1">
        <f>12883+6349</f>
        <v>19232</v>
      </c>
    </row>
    <row r="35" spans="2:16" s="1" customFormat="1" x14ac:dyDescent="0.2">
      <c r="B35" s="1" t="s">
        <v>49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P35" s="1">
        <v>4059</v>
      </c>
    </row>
    <row r="36" spans="2:16" s="1" customFormat="1" x14ac:dyDescent="0.2">
      <c r="B36" s="1" t="s">
        <v>50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P36" s="1">
        <v>1569</v>
      </c>
    </row>
    <row r="37" spans="2:16" s="1" customFormat="1" x14ac:dyDescent="0.2">
      <c r="B37" s="1" t="s">
        <v>51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P37" s="1">
        <f>SUM(P28:P36)</f>
        <v>32189</v>
      </c>
    </row>
    <row r="39" spans="2:16" s="1" customFormat="1" x14ac:dyDescent="0.2">
      <c r="B39" s="1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P39" s="1">
        <f>170+8802</f>
        <v>8972</v>
      </c>
    </row>
    <row r="40" spans="2:16" s="1" customFormat="1" x14ac:dyDescent="0.2">
      <c r="B40" s="1" t="s">
        <v>53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P40" s="1">
        <v>732</v>
      </c>
    </row>
    <row r="41" spans="2:16" s="1" customFormat="1" x14ac:dyDescent="0.2">
      <c r="B41" s="1" t="s">
        <v>54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P41" s="1">
        <v>2197</v>
      </c>
    </row>
    <row r="42" spans="2:16" s="1" customFormat="1" x14ac:dyDescent="0.2">
      <c r="B42" s="1" t="s">
        <v>55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P42" s="1">
        <v>784</v>
      </c>
    </row>
    <row r="43" spans="2:16" s="1" customFormat="1" x14ac:dyDescent="0.2">
      <c r="B43" s="1" t="s">
        <v>56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P43" s="1">
        <v>265</v>
      </c>
    </row>
    <row r="44" spans="2:16" x14ac:dyDescent="0.2">
      <c r="B44" s="1" t="s">
        <v>59</v>
      </c>
      <c r="P44" s="1">
        <v>1988</v>
      </c>
    </row>
    <row r="45" spans="2:16" x14ac:dyDescent="0.2">
      <c r="B45" s="1" t="s">
        <v>58</v>
      </c>
      <c r="P45" s="1">
        <v>17251</v>
      </c>
    </row>
    <row r="46" spans="2:16" x14ac:dyDescent="0.2">
      <c r="B46" s="1" t="s">
        <v>57</v>
      </c>
      <c r="P46" s="1">
        <f>SUM(P39:P45)</f>
        <v>32189</v>
      </c>
    </row>
  </sheetData>
  <hyperlinks>
    <hyperlink ref="A1" location="Main!A1" display="Main" xr:uid="{B498B707-EBD4-4E6A-889E-F399B637C3CC}"/>
  </hyperlink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2022-08-05T11:54:05Z</dcterms:created>
  <dcterms:modified xsi:type="dcterms:W3CDTF">2025-10-08T11:23:22Z</dcterms:modified>
</cp:coreProperties>
</file>