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B9D9035F-2F91-4B27-8B9E-04636B1C2F99}" xr6:coauthVersionLast="47" xr6:coauthVersionMax="47" xr10:uidLastSave="{00000000-0000-0000-0000-000000000000}"/>
  <bookViews>
    <workbookView xWindow="4845" yWindow="4845" windowWidth="18075" windowHeight="16020" xr2:uid="{1A8706FA-D1D1-4BF4-BF6A-9BFB922D75B8}"/>
  </bookViews>
  <sheets>
    <sheet name="Main" sheetId="1" r:id="rId1"/>
    <sheet name="Model" sheetId="2" r:id="rId2"/>
    <sheet name="Fu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C9" i="2"/>
  <c r="D23" i="3"/>
  <c r="C23" i="3"/>
  <c r="D21" i="3"/>
  <c r="D22" i="3"/>
  <c r="D20" i="3"/>
  <c r="D19" i="3"/>
  <c r="D18" i="3"/>
  <c r="D14" i="3"/>
  <c r="C14" i="3"/>
  <c r="D13" i="3"/>
  <c r="D12" i="3"/>
  <c r="D11" i="3"/>
  <c r="D10" i="3"/>
  <c r="D9" i="3"/>
  <c r="D8" i="3"/>
  <c r="E5" i="3"/>
  <c r="E3" i="3"/>
  <c r="E7" i="2"/>
  <c r="D7" i="2"/>
  <c r="C7" i="2"/>
  <c r="E23" i="2"/>
  <c r="D23" i="2"/>
  <c r="C23" i="2"/>
  <c r="E19" i="2"/>
  <c r="D19" i="2"/>
  <c r="C19" i="2"/>
  <c r="E14" i="2"/>
  <c r="E15" i="2" s="1"/>
  <c r="D14" i="2"/>
  <c r="D15" i="2" s="1"/>
  <c r="D20" i="2" s="1"/>
  <c r="D22" i="2" s="1"/>
  <c r="C14" i="2"/>
  <c r="C15" i="2" s="1"/>
  <c r="D2" i="2"/>
  <c r="E2" i="2" s="1"/>
  <c r="I3" i="1"/>
  <c r="I4" i="1" s="1"/>
  <c r="C20" i="2" l="1"/>
  <c r="C22" i="2" s="1"/>
  <c r="C24" i="2" s="1"/>
  <c r="E20" i="2"/>
  <c r="E22" i="2" s="1"/>
  <c r="D24" i="2"/>
  <c r="E24" i="2"/>
</calcChain>
</file>

<file path=xl/sharedStrings.xml><?xml version="1.0" encoding="utf-8"?>
<sst xmlns="http://schemas.openxmlformats.org/spreadsheetml/2006/main" count="68" uniqueCount="65">
  <si>
    <t>Price</t>
  </si>
  <si>
    <t>Shares</t>
  </si>
  <si>
    <t>MC</t>
  </si>
  <si>
    <t>Cash</t>
  </si>
  <si>
    <t>Debt</t>
  </si>
  <si>
    <t>EV</t>
  </si>
  <si>
    <t>Q424</t>
  </si>
  <si>
    <t>Main</t>
  </si>
  <si>
    <t>Incentive</t>
  </si>
  <si>
    <t>Management</t>
  </si>
  <si>
    <t>Investments</t>
  </si>
  <si>
    <t>Interest+Other</t>
  </si>
  <si>
    <t>Revenue</t>
  </si>
  <si>
    <t>Compensation</t>
  </si>
  <si>
    <t>G&amp;A</t>
  </si>
  <si>
    <t>Fund Expenses</t>
  </si>
  <si>
    <t>Operating Expenses</t>
  </si>
  <si>
    <t>Operating Income</t>
  </si>
  <si>
    <t>Interest</t>
  </si>
  <si>
    <t>Pretax Income</t>
  </si>
  <si>
    <t>Taxes</t>
  </si>
  <si>
    <t>Net Income</t>
  </si>
  <si>
    <t>RE AUM</t>
  </si>
  <si>
    <t>PE AUM</t>
  </si>
  <si>
    <t>Credit AUM</t>
  </si>
  <si>
    <t>Hedge AUM</t>
  </si>
  <si>
    <t>AUM</t>
  </si>
  <si>
    <t>Name</t>
  </si>
  <si>
    <t>Capital</t>
  </si>
  <si>
    <t>Pre-BREP</t>
  </si>
  <si>
    <t>BREP I</t>
  </si>
  <si>
    <t>Starting Date</t>
  </si>
  <si>
    <t>Ending Date</t>
  </si>
  <si>
    <t>Ending</t>
  </si>
  <si>
    <t>MOIC</t>
  </si>
  <si>
    <t>Net IRR</t>
  </si>
  <si>
    <t>BREP II</t>
  </si>
  <si>
    <t>BREP III</t>
  </si>
  <si>
    <t>BREP IV</t>
  </si>
  <si>
    <t>BREP V</t>
  </si>
  <si>
    <t>BREP VI</t>
  </si>
  <si>
    <t>BREP VII</t>
  </si>
  <si>
    <t>BREP VIII</t>
  </si>
  <si>
    <t>BREP IX</t>
  </si>
  <si>
    <t>BREP X</t>
  </si>
  <si>
    <t>BREP Intl</t>
  </si>
  <si>
    <t>BREP Intl II</t>
  </si>
  <si>
    <t>BREP Europe III</t>
  </si>
  <si>
    <t>BREP Europe IV</t>
  </si>
  <si>
    <t>BREP Europe V</t>
  </si>
  <si>
    <t>BREP Europe VI</t>
  </si>
  <si>
    <t>BREP Europe VII</t>
  </si>
  <si>
    <t>Total</t>
  </si>
  <si>
    <t>-</t>
  </si>
  <si>
    <t>BREP Europe</t>
  </si>
  <si>
    <t>Founded</t>
  </si>
  <si>
    <t>Divisional Breakdown:</t>
  </si>
  <si>
    <r>
      <t>Private Equity:</t>
    </r>
    <r>
      <rPr>
        <sz val="10"/>
        <color theme="1"/>
        <rFont val="Arial"/>
        <family val="2"/>
      </rPr>
      <t xml:space="preserve"> $352B AUM – 675 employees</t>
    </r>
  </si>
  <si>
    <r>
      <t>Real Estate:</t>
    </r>
    <r>
      <rPr>
        <sz val="10"/>
        <color theme="1"/>
        <rFont val="Arial"/>
        <family val="2"/>
      </rPr>
      <t xml:space="preserve"> $315B AUM – 835 employees</t>
    </r>
  </si>
  <si>
    <r>
      <t>Credit &amp; Insurance:</t>
    </r>
    <r>
      <rPr>
        <sz val="10"/>
        <color theme="1"/>
        <rFont val="Arial"/>
        <family val="2"/>
      </rPr>
      <t xml:space="preserve"> $376B AUM – 685 employees</t>
    </r>
  </si>
  <si>
    <r>
      <t>Hedge Fund Solutions:</t>
    </r>
    <r>
      <rPr>
        <sz val="10"/>
        <color theme="1"/>
        <rFont val="Arial"/>
        <family val="2"/>
      </rPr>
      <t xml:space="preserve"> $84.2B AUM – 240 employees</t>
    </r>
  </si>
  <si>
    <r>
      <t>Assets Under Management (AUM):</t>
    </r>
    <r>
      <rPr>
        <sz val="10"/>
        <color theme="1"/>
        <rFont val="Arial"/>
        <family val="2"/>
      </rPr>
      <t xml:space="preserve"> 1.1T</t>
    </r>
  </si>
  <si>
    <r>
      <t>Employees:</t>
    </r>
    <r>
      <rPr>
        <sz val="10"/>
        <color theme="1"/>
        <rFont val="Arial"/>
        <family val="2"/>
      </rPr>
      <t xml:space="preserve"> 4,895</t>
    </r>
  </si>
  <si>
    <t>CEO</t>
  </si>
  <si>
    <t>Stephen A. Schwarzman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</si>
</sst>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6" formatCode="mmm/yyyy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5" fillId="0" borderId="0" xfId="1" applyFont="1"/>
    <xf numFmtId="17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0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360361</xdr:colOff>
      <xdr:row>14</xdr:row>
      <xdr:rowOff>46475</xdr:rowOff>
    </xdr:from>
    <xdr:to>
      <xdr:col>14</xdr:col>
      <xdr:colOff>438150</xdr:colOff>
      <xdr:row>42</xdr:row>
      <xdr:rowOff>7885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BC242-290B-1107-EDB3-2A61E918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2411" y="2342000"/>
          <a:ext cx="7050089" cy="449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8616-C44F-4A35-9D08-47C3FE9BCFDF}">
  <dimension ref="B2:J10"/>
  <sheetViews>
    <sheetView tabSelected="1" zoomScaleNormal="100" workbookViewId="0">
      <selection activeCell="I5" sqref="I5"/>
    </sheetView>
  </sheetViews>
  <sheetFormatPr defaultColWidth="8.7109375" defaultRowHeight="12.75" x14ac:dyDescent="0.2"/>
  <cols>
    <col min="1" max="16384" width="8.7109375" style="1"/>
  </cols>
  <sheetData>
    <row r="2" spans="2:10" x14ac:dyDescent="0.2">
      <c r="B2" s="5" t="s">
        <v>61</v>
      </c>
      <c r="H2" s="1" t="s">
        <v>0</v>
      </c>
      <c r="I2" s="4">
        <v>160</v>
      </c>
    </row>
    <row r="3" spans="2:10" x14ac:dyDescent="0.2">
      <c r="B3" s="5" t="s">
        <v>62</v>
      </c>
      <c r="H3" s="1" t="s">
        <v>1</v>
      </c>
      <c r="I3" s="2">
        <f>729.415925+439.589</f>
        <v>1169.004925</v>
      </c>
      <c r="J3" s="3" t="s">
        <v>6</v>
      </c>
    </row>
    <row r="4" spans="2:10" x14ac:dyDescent="0.2">
      <c r="H4" s="1" t="s">
        <v>2</v>
      </c>
      <c r="I4" s="2">
        <f>+I2*I3</f>
        <v>187040.788</v>
      </c>
    </row>
    <row r="5" spans="2:10" x14ac:dyDescent="0.2">
      <c r="B5" s="19" t="s">
        <v>56</v>
      </c>
      <c r="H5" s="1" t="s">
        <v>3</v>
      </c>
      <c r="I5" s="2"/>
      <c r="J5" s="3" t="s">
        <v>6</v>
      </c>
    </row>
    <row r="6" spans="2:10" x14ac:dyDescent="0.2">
      <c r="H6" s="1" t="s">
        <v>4</v>
      </c>
      <c r="I6" s="2"/>
      <c r="J6" s="3" t="s">
        <v>6</v>
      </c>
    </row>
    <row r="7" spans="2:10" x14ac:dyDescent="0.2">
      <c r="B7" s="5" t="s">
        <v>57</v>
      </c>
      <c r="H7" s="1" t="s">
        <v>5</v>
      </c>
      <c r="I7" s="2"/>
    </row>
    <row r="8" spans="2:10" ht="15" x14ac:dyDescent="0.25">
      <c r="B8" s="5" t="s">
        <v>58</v>
      </c>
      <c r="C8"/>
    </row>
    <row r="9" spans="2:10" x14ac:dyDescent="0.2">
      <c r="B9" s="5" t="s">
        <v>59</v>
      </c>
      <c r="H9" s="18" t="s">
        <v>55</v>
      </c>
      <c r="I9" s="1">
        <v>1985</v>
      </c>
    </row>
    <row r="10" spans="2:10" x14ac:dyDescent="0.2">
      <c r="B10" s="5" t="s">
        <v>60</v>
      </c>
      <c r="H10" s="18" t="s">
        <v>63</v>
      </c>
      <c r="I10" s="1" t="s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170A-8780-4A9B-BC04-2C47A80DAAC2}">
  <dimension ref="A1:E2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2" sqref="H32"/>
    </sheetView>
  </sheetViews>
  <sheetFormatPr defaultColWidth="8.7109375" defaultRowHeight="12.75" x14ac:dyDescent="0.2"/>
  <cols>
    <col min="1" max="1" width="4.7109375" style="1" bestFit="1" customWidth="1"/>
    <col min="2" max="2" width="18.42578125" style="1" customWidth="1"/>
    <col min="3" max="16384" width="8.7109375" style="1"/>
  </cols>
  <sheetData>
    <row r="1" spans="1:5" x14ac:dyDescent="0.2">
      <c r="A1" s="7" t="s">
        <v>7</v>
      </c>
    </row>
    <row r="2" spans="1:5" x14ac:dyDescent="0.2">
      <c r="C2" s="1">
        <v>2022</v>
      </c>
      <c r="D2" s="1">
        <f>+C2+1</f>
        <v>2023</v>
      </c>
      <c r="E2" s="1">
        <f>+D2+1</f>
        <v>2024</v>
      </c>
    </row>
    <row r="3" spans="1:5" s="2" customFormat="1" x14ac:dyDescent="0.2">
      <c r="B3" s="2" t="s">
        <v>22</v>
      </c>
      <c r="C3" s="2">
        <v>326.10000000000002</v>
      </c>
      <c r="D3" s="2">
        <v>336.9</v>
      </c>
      <c r="E3" s="2">
        <v>315.39999999999998</v>
      </c>
    </row>
    <row r="4" spans="1:5" s="2" customFormat="1" x14ac:dyDescent="0.2">
      <c r="B4" s="2" t="s">
        <v>23</v>
      </c>
      <c r="C4" s="2">
        <v>299.89999999999998</v>
      </c>
      <c r="D4" s="2">
        <v>314.39999999999998</v>
      </c>
      <c r="E4" s="2">
        <v>352.2</v>
      </c>
    </row>
    <row r="5" spans="1:5" s="2" customFormat="1" x14ac:dyDescent="0.2">
      <c r="B5" s="2" t="s">
        <v>24</v>
      </c>
      <c r="C5" s="2">
        <v>273.7</v>
      </c>
      <c r="D5" s="2">
        <v>312.7</v>
      </c>
      <c r="E5" s="2">
        <v>375.5</v>
      </c>
    </row>
    <row r="6" spans="1:5" s="2" customFormat="1" x14ac:dyDescent="0.2">
      <c r="B6" s="2" t="s">
        <v>25</v>
      </c>
      <c r="C6" s="2">
        <v>74.900000000000006</v>
      </c>
      <c r="D6" s="2">
        <v>76.2</v>
      </c>
      <c r="E6" s="2">
        <v>84.2</v>
      </c>
    </row>
    <row r="7" spans="1:5" s="2" customFormat="1" x14ac:dyDescent="0.2">
      <c r="B7" s="2" t="s">
        <v>26</v>
      </c>
      <c r="C7" s="2">
        <f>SUM(C3:C6)</f>
        <v>974.6</v>
      </c>
      <c r="D7" s="2">
        <f>SUM(D3:D6)</f>
        <v>1040.2</v>
      </c>
      <c r="E7" s="2">
        <f>SUM(E3:E6)</f>
        <v>1127.3</v>
      </c>
    </row>
    <row r="8" spans="1:5" s="2" customFormat="1" x14ac:dyDescent="0.2"/>
    <row r="9" spans="1:5" s="2" customFormat="1" x14ac:dyDescent="0.2">
      <c r="C9" s="15">
        <f>+C11/1000/C7</f>
        <v>6.4675918325466852E-3</v>
      </c>
      <c r="D9" s="15">
        <f>+D11/1000/D7</f>
        <v>6.4134397231301668E-3</v>
      </c>
      <c r="E9" s="15">
        <f>+E11/1000/E7</f>
        <v>6.3771276501374966E-3</v>
      </c>
    </row>
    <row r="11" spans="1:5" s="2" customFormat="1" x14ac:dyDescent="0.2">
      <c r="B11" s="2" t="s">
        <v>9</v>
      </c>
      <c r="C11" s="2">
        <v>6303.3149999999996</v>
      </c>
      <c r="D11" s="2">
        <v>6671.26</v>
      </c>
      <c r="E11" s="2">
        <v>7188.9359999999997</v>
      </c>
    </row>
    <row r="12" spans="1:5" s="2" customFormat="1" x14ac:dyDescent="0.2">
      <c r="B12" s="2" t="s">
        <v>8</v>
      </c>
      <c r="C12" s="2">
        <v>525.12699999999995</v>
      </c>
      <c r="D12" s="2">
        <v>695.17100000000005</v>
      </c>
      <c r="E12" s="2">
        <v>964.178</v>
      </c>
    </row>
    <row r="13" spans="1:5" s="2" customFormat="1" x14ac:dyDescent="0.2">
      <c r="B13" s="2" t="s">
        <v>10</v>
      </c>
      <c r="C13" s="2">
        <v>1233.0619999999999</v>
      </c>
      <c r="D13" s="2">
        <v>232.84200000000001</v>
      </c>
      <c r="E13" s="2">
        <v>4542.0020000000004</v>
      </c>
    </row>
    <row r="14" spans="1:5" s="2" customFormat="1" x14ac:dyDescent="0.2">
      <c r="B14" s="2" t="s">
        <v>11</v>
      </c>
      <c r="C14" s="2">
        <f>271.612+184.557</f>
        <v>456.16899999999998</v>
      </c>
      <c r="D14" s="2">
        <f>516.497-92.929</f>
        <v>423.56799999999998</v>
      </c>
      <c r="E14" s="2">
        <f>411.159+123.693</f>
        <v>534.85199999999998</v>
      </c>
    </row>
    <row r="15" spans="1:5" s="5" customFormat="1" x14ac:dyDescent="0.2">
      <c r="B15" s="5" t="s">
        <v>12</v>
      </c>
      <c r="C15" s="6">
        <f>SUM(C11:C14)</f>
        <v>8517.6729999999989</v>
      </c>
      <c r="D15" s="6">
        <f>SUM(D11:D14)</f>
        <v>8022.8410000000003</v>
      </c>
      <c r="E15" s="6">
        <f>SUM(E11:E14)</f>
        <v>13229.968000000001</v>
      </c>
    </row>
    <row r="16" spans="1:5" s="2" customFormat="1" x14ac:dyDescent="0.2">
      <c r="B16" s="2" t="s">
        <v>13</v>
      </c>
      <c r="C16" s="2">
        <v>3532.4540000000002</v>
      </c>
      <c r="D16" s="2">
        <v>3312.97</v>
      </c>
      <c r="E16" s="2">
        <v>4994.0529999999999</v>
      </c>
    </row>
    <row r="17" spans="2:5" s="2" customFormat="1" x14ac:dyDescent="0.2">
      <c r="B17" s="2" t="s">
        <v>14</v>
      </c>
      <c r="C17" s="2">
        <v>1092.671</v>
      </c>
      <c r="D17" s="2">
        <v>1117.3050000000001</v>
      </c>
      <c r="E17" s="2">
        <v>1361.9090000000001</v>
      </c>
    </row>
    <row r="18" spans="2:5" s="2" customFormat="1" x14ac:dyDescent="0.2">
      <c r="B18" s="2" t="s">
        <v>15</v>
      </c>
      <c r="C18" s="2">
        <v>30.675000000000001</v>
      </c>
      <c r="D18" s="2">
        <v>119.98699999999999</v>
      </c>
      <c r="E18" s="2">
        <v>19.675999999999998</v>
      </c>
    </row>
    <row r="19" spans="2:5" s="2" customFormat="1" x14ac:dyDescent="0.2">
      <c r="B19" s="2" t="s">
        <v>16</v>
      </c>
      <c r="C19" s="2">
        <f>SUM(C16:C18)</f>
        <v>4655.8</v>
      </c>
      <c r="D19" s="2">
        <f>SUM(D16:D18)</f>
        <v>4550.2619999999997</v>
      </c>
      <c r="E19" s="2">
        <f>SUM(E16:E18)</f>
        <v>6375.6379999999999</v>
      </c>
    </row>
    <row r="20" spans="2:5" s="2" customFormat="1" x14ac:dyDescent="0.2">
      <c r="B20" s="2" t="s">
        <v>17</v>
      </c>
      <c r="C20" s="2">
        <f>+C15-C19</f>
        <v>3861.8729999999987</v>
      </c>
      <c r="D20" s="2">
        <f>+D15-D19</f>
        <v>3472.5790000000006</v>
      </c>
      <c r="E20" s="2">
        <f>+E15-E19</f>
        <v>6854.3300000000008</v>
      </c>
    </row>
    <row r="21" spans="2:5" s="2" customFormat="1" x14ac:dyDescent="0.2">
      <c r="B21" s="2" t="s">
        <v>18</v>
      </c>
      <c r="C21" s="2">
        <v>-317.22500000000002</v>
      </c>
      <c r="D21" s="2">
        <v>-431.86799999999999</v>
      </c>
      <c r="E21" s="2">
        <v>-443.68799999999999</v>
      </c>
    </row>
    <row r="22" spans="2:5" s="2" customFormat="1" x14ac:dyDescent="0.2">
      <c r="B22" s="2" t="s">
        <v>19</v>
      </c>
      <c r="C22" s="2">
        <f t="shared" ref="C22:D22" si="0">+C20+C21</f>
        <v>3544.6479999999988</v>
      </c>
      <c r="D22" s="2">
        <f t="shared" si="0"/>
        <v>3040.7110000000007</v>
      </c>
      <c r="E22" s="2">
        <f>+E20+E21</f>
        <v>6410.6420000000007</v>
      </c>
    </row>
    <row r="23" spans="2:5" s="2" customFormat="1" x14ac:dyDescent="0.2">
      <c r="B23" s="2" t="s">
        <v>20</v>
      </c>
      <c r="C23" s="2">
        <f>-82.859+472.88</f>
        <v>390.02100000000002</v>
      </c>
      <c r="D23" s="2">
        <f>-83.997+513.461</f>
        <v>429.464</v>
      </c>
      <c r="E23" s="2">
        <f>1021.671+48.838</f>
        <v>1070.509</v>
      </c>
    </row>
    <row r="24" spans="2:5" s="2" customFormat="1" x14ac:dyDescent="0.2">
      <c r="B24" s="2" t="s">
        <v>21</v>
      </c>
      <c r="C24" s="2">
        <f>+C22-C23</f>
        <v>3154.6269999999986</v>
      </c>
      <c r="D24" s="2">
        <f>+D22-D23</f>
        <v>2611.2470000000008</v>
      </c>
      <c r="E24" s="2">
        <f>+E22-E23</f>
        <v>5340.1330000000007</v>
      </c>
    </row>
  </sheetData>
  <hyperlinks>
    <hyperlink ref="A1" location="Main!A1" display="Main" xr:uid="{E414F8F3-8632-4869-A32A-FCA368328A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0675-55D4-42EA-93C4-025FE78E286A}">
  <dimension ref="A1:H23"/>
  <sheetViews>
    <sheetView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O12" sqref="O12"/>
    </sheetView>
  </sheetViews>
  <sheetFormatPr defaultColWidth="8.7109375" defaultRowHeight="12.75" x14ac:dyDescent="0.2"/>
  <cols>
    <col min="1" max="1" width="4.5703125" style="1" bestFit="1" customWidth="1"/>
    <col min="2" max="2" width="15.42578125" style="1" customWidth="1"/>
    <col min="3" max="4" width="8.7109375" style="9"/>
    <col min="5" max="5" width="8.7109375" style="10"/>
    <col min="6" max="6" width="8.7109375" style="11"/>
    <col min="7" max="8" width="11.85546875" style="3" customWidth="1"/>
    <col min="9" max="16384" width="8.7109375" style="1"/>
  </cols>
  <sheetData>
    <row r="1" spans="1:8" x14ac:dyDescent="0.2">
      <c r="A1" s="7" t="s">
        <v>7</v>
      </c>
    </row>
    <row r="2" spans="1:8" x14ac:dyDescent="0.2">
      <c r="B2" s="1" t="s">
        <v>27</v>
      </c>
      <c r="C2" s="9" t="s">
        <v>28</v>
      </c>
      <c r="D2" s="9" t="s">
        <v>33</v>
      </c>
      <c r="E2" s="10" t="s">
        <v>34</v>
      </c>
      <c r="F2" s="11" t="s">
        <v>35</v>
      </c>
      <c r="G2" s="3" t="s">
        <v>31</v>
      </c>
      <c r="H2" s="3" t="s">
        <v>32</v>
      </c>
    </row>
    <row r="3" spans="1:8" x14ac:dyDescent="0.2">
      <c r="B3" s="1" t="s">
        <v>29</v>
      </c>
      <c r="C3" s="9">
        <v>140.714</v>
      </c>
      <c r="D3" s="9">
        <v>345.19</v>
      </c>
      <c r="E3" s="10">
        <f>+D3/C3</f>
        <v>2.4531318845317451</v>
      </c>
      <c r="F3" s="11">
        <v>0.33</v>
      </c>
      <c r="G3" s="8"/>
      <c r="H3" s="8"/>
    </row>
    <row r="4" spans="1:8" x14ac:dyDescent="0.2">
      <c r="B4" s="1" t="s">
        <v>30</v>
      </c>
      <c r="C4" s="9">
        <v>380.70800000000003</v>
      </c>
      <c r="D4" s="9">
        <v>1327.7080000000001</v>
      </c>
      <c r="E4" s="10">
        <v>2.8</v>
      </c>
      <c r="F4" s="11">
        <v>0.4</v>
      </c>
      <c r="G4" s="8">
        <v>34578</v>
      </c>
      <c r="H4" s="8">
        <v>35339</v>
      </c>
    </row>
    <row r="5" spans="1:8" x14ac:dyDescent="0.2">
      <c r="B5" s="1" t="s">
        <v>36</v>
      </c>
      <c r="C5" s="9">
        <v>1198.3389999999999</v>
      </c>
      <c r="D5" s="9">
        <v>2531.614</v>
      </c>
      <c r="E5" s="10">
        <f>+D5/C5</f>
        <v>2.1126025273315814</v>
      </c>
      <c r="F5" s="11">
        <v>0.19</v>
      </c>
      <c r="G5" s="8">
        <v>35339</v>
      </c>
      <c r="H5" s="8">
        <v>36220</v>
      </c>
    </row>
    <row r="6" spans="1:8" x14ac:dyDescent="0.2">
      <c r="B6" s="1" t="s">
        <v>37</v>
      </c>
      <c r="C6" s="9">
        <v>1522.7080000000001</v>
      </c>
      <c r="D6" s="9">
        <v>3330.4059999999999</v>
      </c>
      <c r="E6" s="10">
        <v>2.4</v>
      </c>
      <c r="F6" s="11">
        <v>0.21</v>
      </c>
      <c r="G6" s="8">
        <v>36251</v>
      </c>
      <c r="H6" s="8">
        <v>37712</v>
      </c>
    </row>
    <row r="7" spans="1:8" x14ac:dyDescent="0.2">
      <c r="B7" s="1" t="s">
        <v>38</v>
      </c>
      <c r="C7" s="9">
        <v>2198.694</v>
      </c>
      <c r="D7" s="9">
        <v>4684.6080000000002</v>
      </c>
      <c r="E7" s="10">
        <v>1.7</v>
      </c>
      <c r="F7" s="11">
        <v>0.12</v>
      </c>
      <c r="G7" s="8">
        <v>37712</v>
      </c>
      <c r="H7" s="8">
        <v>38687</v>
      </c>
    </row>
    <row r="8" spans="1:8" x14ac:dyDescent="0.2">
      <c r="B8" s="1" t="s">
        <v>39</v>
      </c>
      <c r="C8" s="9">
        <v>5539.4179999999997</v>
      </c>
      <c r="D8" s="9">
        <f>13463.448+6.711</f>
        <v>13470.159</v>
      </c>
      <c r="E8" s="10">
        <v>2.2999999999999998</v>
      </c>
      <c r="F8" s="11">
        <v>0.11</v>
      </c>
      <c r="G8" s="8">
        <v>38687</v>
      </c>
      <c r="H8" s="8">
        <v>39114</v>
      </c>
    </row>
    <row r="9" spans="1:8" x14ac:dyDescent="0.2">
      <c r="B9" s="1" t="s">
        <v>40</v>
      </c>
      <c r="C9" s="9">
        <v>11060.121999999999</v>
      </c>
      <c r="D9" s="9">
        <f>27761.681+5.033</f>
        <v>27766.714</v>
      </c>
      <c r="E9" s="10">
        <v>2.5</v>
      </c>
      <c r="F9" s="11">
        <v>0.13</v>
      </c>
      <c r="G9" s="16">
        <v>39114</v>
      </c>
      <c r="H9" s="16">
        <v>40756</v>
      </c>
    </row>
    <row r="10" spans="1:8" x14ac:dyDescent="0.2">
      <c r="B10" s="1" t="s">
        <v>41</v>
      </c>
      <c r="C10" s="9">
        <v>13505.656999999999</v>
      </c>
      <c r="D10" s="9">
        <f>28733.571+1515.05+1016.699</f>
        <v>31265.32</v>
      </c>
      <c r="E10" s="10">
        <v>2.2000000000000002</v>
      </c>
      <c r="F10" s="11">
        <v>0.14000000000000001</v>
      </c>
      <c r="G10" s="16">
        <v>40756</v>
      </c>
      <c r="H10" s="16">
        <v>42095</v>
      </c>
    </row>
    <row r="11" spans="1:8" x14ac:dyDescent="0.2">
      <c r="B11" s="1" t="s">
        <v>42</v>
      </c>
      <c r="C11" s="9">
        <v>16626.350999999999</v>
      </c>
      <c r="D11" s="9">
        <f>22891.22+10625.834+1673.758</f>
        <v>35190.812000000005</v>
      </c>
      <c r="E11" s="10">
        <v>2.2999999999999998</v>
      </c>
      <c r="F11" s="11">
        <v>0.13</v>
      </c>
      <c r="G11" s="16">
        <v>42095</v>
      </c>
      <c r="H11" s="16">
        <v>43617</v>
      </c>
    </row>
    <row r="12" spans="1:8" x14ac:dyDescent="0.2">
      <c r="B12" s="1" t="s">
        <v>43</v>
      </c>
      <c r="C12" s="9">
        <v>21349.948</v>
      </c>
      <c r="D12" s="9">
        <f>9136.965+22447.87+3313.697</f>
        <v>34898.531999999999</v>
      </c>
      <c r="E12" s="10">
        <v>2.2000000000000002</v>
      </c>
      <c r="F12" s="11">
        <v>0.1</v>
      </c>
      <c r="G12" s="16">
        <v>43617</v>
      </c>
      <c r="H12" s="16">
        <v>44774</v>
      </c>
    </row>
    <row r="13" spans="1:8" x14ac:dyDescent="0.2">
      <c r="B13" s="1" t="s">
        <v>44</v>
      </c>
      <c r="C13" s="9">
        <v>30644.636999999999</v>
      </c>
      <c r="D13" s="9">
        <f>632.157+11567.61+20405.498</f>
        <v>32605.264999999999</v>
      </c>
      <c r="E13" s="10">
        <v>1.2</v>
      </c>
      <c r="F13" s="11">
        <v>0.08</v>
      </c>
      <c r="G13" s="16">
        <v>44774</v>
      </c>
      <c r="H13" s="16">
        <v>46784</v>
      </c>
    </row>
    <row r="14" spans="1:8" s="5" customFormat="1" x14ac:dyDescent="0.2">
      <c r="B14" s="5" t="s">
        <v>52</v>
      </c>
      <c r="C14" s="12">
        <f>SUM(C3:C13)</f>
        <v>104167.296</v>
      </c>
      <c r="D14" s="12">
        <f>SUM(D3:D13)</f>
        <v>187416.32800000004</v>
      </c>
      <c r="E14" s="13">
        <v>2.2999999999999998</v>
      </c>
      <c r="F14" s="14">
        <v>0.15</v>
      </c>
      <c r="G14" s="17"/>
      <c r="H14" s="17"/>
    </row>
    <row r="15" spans="1:8" x14ac:dyDescent="0.2">
      <c r="G15" s="16"/>
      <c r="H15" s="16"/>
    </row>
    <row r="16" spans="1:8" x14ac:dyDescent="0.2">
      <c r="B16" s="1" t="s">
        <v>45</v>
      </c>
      <c r="C16" s="9">
        <v>824.17200000000003</v>
      </c>
      <c r="D16" s="9">
        <v>1373.17</v>
      </c>
      <c r="E16" s="10">
        <v>2.1</v>
      </c>
      <c r="F16" s="11">
        <v>0.23</v>
      </c>
      <c r="G16" s="16">
        <v>36892</v>
      </c>
      <c r="H16" s="16">
        <v>38596</v>
      </c>
    </row>
    <row r="17" spans="2:8" x14ac:dyDescent="0.2">
      <c r="B17" s="1" t="s">
        <v>46</v>
      </c>
      <c r="C17" s="9">
        <v>1629.748</v>
      </c>
      <c r="D17" s="9">
        <v>2583.0320000000002</v>
      </c>
      <c r="E17" s="10">
        <v>1.8</v>
      </c>
      <c r="F17" s="11">
        <v>0.08</v>
      </c>
      <c r="G17" s="16">
        <v>38596</v>
      </c>
      <c r="H17" s="16">
        <v>39600</v>
      </c>
    </row>
    <row r="18" spans="2:8" x14ac:dyDescent="0.2">
      <c r="B18" s="1" t="s">
        <v>47</v>
      </c>
      <c r="C18" s="9">
        <v>3205.42</v>
      </c>
      <c r="D18" s="9">
        <f>5896.568+96.634+400.061</f>
        <v>6393.2629999999999</v>
      </c>
      <c r="E18" s="10">
        <v>2</v>
      </c>
      <c r="F18" s="11">
        <v>0.13</v>
      </c>
      <c r="G18" s="16">
        <v>39600</v>
      </c>
      <c r="H18" s="16">
        <v>41518</v>
      </c>
    </row>
    <row r="19" spans="2:8" x14ac:dyDescent="0.2">
      <c r="B19" s="1" t="s">
        <v>48</v>
      </c>
      <c r="C19" s="9">
        <v>6676.5770000000002</v>
      </c>
      <c r="D19" s="9">
        <f>10170.138+1016.101+1124.309</f>
        <v>12310.548000000001</v>
      </c>
      <c r="E19" s="10">
        <v>1.7</v>
      </c>
      <c r="F19" s="11">
        <v>0.12</v>
      </c>
      <c r="G19" s="16">
        <v>41518</v>
      </c>
      <c r="H19" s="16">
        <v>42705</v>
      </c>
    </row>
    <row r="20" spans="2:8" x14ac:dyDescent="0.2">
      <c r="B20" s="1" t="s">
        <v>49</v>
      </c>
      <c r="C20" s="9">
        <v>7997.3969999999999</v>
      </c>
      <c r="D20" s="9">
        <f>6762.819+4251.304+814.656</f>
        <v>11828.778999999999</v>
      </c>
      <c r="E20" s="10">
        <v>1.5</v>
      </c>
      <c r="F20" s="11">
        <v>7.0000000000000007E-2</v>
      </c>
      <c r="G20" s="16">
        <v>42705</v>
      </c>
      <c r="H20" s="16">
        <v>43739</v>
      </c>
    </row>
    <row r="21" spans="2:8" x14ac:dyDescent="0.2">
      <c r="B21" s="1" t="s">
        <v>50</v>
      </c>
      <c r="C21" s="9">
        <v>9934.9009999999998</v>
      </c>
      <c r="D21" s="9">
        <f>3449.052+8529.75+3037.326</f>
        <v>15016.128000000001</v>
      </c>
      <c r="E21" s="10">
        <v>1.4</v>
      </c>
      <c r="F21" s="11">
        <v>0.11</v>
      </c>
      <c r="G21" s="16">
        <v>43739</v>
      </c>
      <c r="H21" s="16">
        <v>45170</v>
      </c>
    </row>
    <row r="22" spans="2:8" x14ac:dyDescent="0.2">
      <c r="B22" s="1" t="s">
        <v>51</v>
      </c>
      <c r="C22" s="9">
        <v>8681.7669999999998</v>
      </c>
      <c r="D22" s="9">
        <f>2440.509+6566.084</f>
        <v>9006.5930000000008</v>
      </c>
      <c r="E22" s="10">
        <v>1.2</v>
      </c>
      <c r="F22" s="11" t="s">
        <v>53</v>
      </c>
      <c r="G22" s="16">
        <v>45170</v>
      </c>
      <c r="H22" s="16">
        <v>47178</v>
      </c>
    </row>
    <row r="23" spans="2:8" x14ac:dyDescent="0.2">
      <c r="B23" s="5" t="s">
        <v>54</v>
      </c>
      <c r="C23" s="12">
        <f>SUM(C16:C22)</f>
        <v>38949.982000000004</v>
      </c>
      <c r="D23" s="12">
        <f>SUM(D16:D22)</f>
        <v>58511.512999999999</v>
      </c>
      <c r="E23" s="13">
        <v>2.2999999999999998</v>
      </c>
      <c r="F23" s="14">
        <v>0.11</v>
      </c>
    </row>
  </sheetData>
  <hyperlinks>
    <hyperlink ref="A1" location="Main!A1" display="Main" xr:uid="{02568026-C4C9-4517-9E61-7C456BC606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2025-03-27T14:05:28Z</dcterms:created>
  <dcterms:modified xsi:type="dcterms:W3CDTF">2025-10-08T10:13:55Z</dcterms:modified>
</cp:coreProperties>
</file>