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0128CF1-D1DB-4A94-9667-4CCD672D1BBF}" xr6:coauthVersionLast="47" xr6:coauthVersionMax="47" xr10:uidLastSave="{00000000-0000-0000-0000-000000000000}"/>
  <bookViews>
    <workbookView xWindow="4155" yWindow="4155" windowWidth="18075" windowHeight="16020" xr2:uid="{AE47EA50-A1C9-422B-BA52-17EB40FFC9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L21" i="2"/>
  <c r="D21" i="2"/>
  <c r="C14" i="2"/>
  <c r="C11" i="2"/>
  <c r="C12" i="2" s="1"/>
  <c r="C27" i="2"/>
  <c r="C6" i="2"/>
  <c r="C8" i="2" s="1"/>
  <c r="D14" i="2"/>
  <c r="D11" i="2"/>
  <c r="D12" i="2" s="1"/>
  <c r="D27" i="2"/>
  <c r="D6" i="2"/>
  <c r="D8" i="2" s="1"/>
  <c r="E14" i="2"/>
  <c r="E11" i="2"/>
  <c r="E12" i="2" s="1"/>
  <c r="E27" i="2"/>
  <c r="E6" i="2"/>
  <c r="E8" i="2" s="1"/>
  <c r="F14" i="2"/>
  <c r="F11" i="2"/>
  <c r="F12" i="2" s="1"/>
  <c r="F27" i="2"/>
  <c r="F6" i="2"/>
  <c r="F8" i="2" s="1"/>
  <c r="G14" i="2"/>
  <c r="G11" i="2"/>
  <c r="G12" i="2" s="1"/>
  <c r="G27" i="2"/>
  <c r="G6" i="2"/>
  <c r="G8" i="2" s="1"/>
  <c r="H14" i="2"/>
  <c r="H11" i="2"/>
  <c r="H12" i="2" s="1"/>
  <c r="H27" i="2"/>
  <c r="H6" i="2"/>
  <c r="H8" i="2" s="1"/>
  <c r="I14" i="2"/>
  <c r="I11" i="2"/>
  <c r="I12" i="2" s="1"/>
  <c r="I27" i="2"/>
  <c r="I6" i="2"/>
  <c r="I8" i="2" s="1"/>
  <c r="L27" i="2"/>
  <c r="K27" i="2"/>
  <c r="J27" i="2"/>
  <c r="K6" i="1"/>
  <c r="L14" i="2"/>
  <c r="K14" i="2"/>
  <c r="J14" i="2"/>
  <c r="L11" i="2"/>
  <c r="L12" i="2" s="1"/>
  <c r="K11" i="2"/>
  <c r="K12" i="2" s="1"/>
  <c r="J11" i="2"/>
  <c r="J12" i="2" s="1"/>
  <c r="L6" i="2"/>
  <c r="L8" i="2" s="1"/>
  <c r="L22" i="2" s="1"/>
  <c r="K6" i="2"/>
  <c r="K8" i="2" s="1"/>
  <c r="K22" i="2" s="1"/>
  <c r="J6" i="2"/>
  <c r="J8" i="2" s="1"/>
  <c r="J22" i="2" s="1"/>
  <c r="K4" i="1"/>
  <c r="K7" i="1" s="1"/>
  <c r="C13" i="2" l="1"/>
  <c r="C15" i="2" s="1"/>
  <c r="C17" i="2" s="1"/>
  <c r="C18" i="2" s="1"/>
  <c r="C22" i="2"/>
  <c r="D13" i="2"/>
  <c r="D15" i="2" s="1"/>
  <c r="D17" i="2" s="1"/>
  <c r="D18" i="2" s="1"/>
  <c r="D22" i="2"/>
  <c r="E22" i="2"/>
  <c r="E13" i="2"/>
  <c r="E15" i="2" s="1"/>
  <c r="E17" i="2" s="1"/>
  <c r="E18" i="2" s="1"/>
  <c r="F22" i="2"/>
  <c r="F13" i="2"/>
  <c r="F15" i="2" s="1"/>
  <c r="F17" i="2" s="1"/>
  <c r="F18" i="2" s="1"/>
  <c r="G22" i="2"/>
  <c r="G13" i="2"/>
  <c r="G15" i="2" s="1"/>
  <c r="G17" i="2" s="1"/>
  <c r="G18" i="2" s="1"/>
  <c r="H22" i="2"/>
  <c r="H13" i="2"/>
  <c r="H15" i="2" s="1"/>
  <c r="H17" i="2" s="1"/>
  <c r="H18" i="2" s="1"/>
  <c r="J13" i="2"/>
  <c r="J15" i="2" s="1"/>
  <c r="J17" i="2" s="1"/>
  <c r="J18" i="2" s="1"/>
  <c r="K13" i="2"/>
  <c r="K15" i="2" s="1"/>
  <c r="K17" i="2" s="1"/>
  <c r="K18" i="2" s="1"/>
  <c r="I22" i="2"/>
  <c r="I13" i="2"/>
  <c r="I15" i="2" s="1"/>
  <c r="I17" i="2" s="1"/>
  <c r="I18" i="2" s="1"/>
  <c r="L13" i="2"/>
  <c r="L15" i="2" s="1"/>
  <c r="L17" i="2" s="1"/>
  <c r="L18" i="2" s="1"/>
</calcChain>
</file>

<file path=xl/sharedStrings.xml><?xml version="1.0" encoding="utf-8"?>
<sst xmlns="http://schemas.openxmlformats.org/spreadsheetml/2006/main" count="68" uniqueCount="64">
  <si>
    <t>Price</t>
  </si>
  <si>
    <t>Shares</t>
  </si>
  <si>
    <t>MC</t>
  </si>
  <si>
    <t>Cash</t>
  </si>
  <si>
    <t>Debt</t>
  </si>
  <si>
    <t>EV</t>
  </si>
  <si>
    <t>Founder</t>
  </si>
  <si>
    <t>Construction</t>
  </si>
  <si>
    <t>Asphalt pavers</t>
  </si>
  <si>
    <t>Backhoe Loaders</t>
  </si>
  <si>
    <t>Cold Planers</t>
  </si>
  <si>
    <t>Compactors</t>
  </si>
  <si>
    <t>Compact Track Loaders</t>
  </si>
  <si>
    <t>Forestry Machines</t>
  </si>
  <si>
    <t>Material Handlers</t>
  </si>
  <si>
    <t>Motor Graders</t>
  </si>
  <si>
    <t>Pipelayers</t>
  </si>
  <si>
    <t>Road Reclaimers</t>
  </si>
  <si>
    <t>Skid Steer Loaders</t>
  </si>
  <si>
    <t>Telehandlers</t>
  </si>
  <si>
    <t>Track-type Loaders</t>
  </si>
  <si>
    <t>Track Excavators</t>
  </si>
  <si>
    <t>Wheel Excavators</t>
  </si>
  <si>
    <t>Wheel Roaders</t>
  </si>
  <si>
    <t>Resources</t>
  </si>
  <si>
    <t>Electric Rope Shovels</t>
  </si>
  <si>
    <t>Draglines</t>
  </si>
  <si>
    <t>Hydraulic Shovels</t>
  </si>
  <si>
    <t>Rotary Drills</t>
  </si>
  <si>
    <t>Hard Rock Vehicles</t>
  </si>
  <si>
    <t>Large Track-Type Tractors</t>
  </si>
  <si>
    <t>Large Mining Trucks</t>
  </si>
  <si>
    <t>Large Wheel Loaders</t>
  </si>
  <si>
    <t>Off-Highway Trucks</t>
  </si>
  <si>
    <t>Wide-body Trucks</t>
  </si>
  <si>
    <t>Articulated Trucks</t>
  </si>
  <si>
    <t>Wheel Tractor Scrapers</t>
  </si>
  <si>
    <t>Wheel Dozers</t>
  </si>
  <si>
    <t>Fleet Management</t>
  </si>
  <si>
    <t>Soil Compactors</t>
  </si>
  <si>
    <t>Landfill Compactors</t>
  </si>
  <si>
    <t>Machinery Components</t>
  </si>
  <si>
    <t>Main</t>
  </si>
  <si>
    <t>Machinery</t>
  </si>
  <si>
    <t>Financial</t>
  </si>
  <si>
    <t>Revenues</t>
  </si>
  <si>
    <t>COGS</t>
  </si>
  <si>
    <t>Gross Margin</t>
  </si>
  <si>
    <t>Gross Profit</t>
  </si>
  <si>
    <t>SG&amp;A</t>
  </si>
  <si>
    <t>R&amp;D</t>
  </si>
  <si>
    <t>Operating Expenses</t>
  </si>
  <si>
    <t>Interest Expense</t>
  </si>
  <si>
    <t>Operating Income</t>
  </si>
  <si>
    <t>Interest+Other</t>
  </si>
  <si>
    <t>Pretax Income</t>
  </si>
  <si>
    <t>Taxes</t>
  </si>
  <si>
    <t>Net Income</t>
  </si>
  <si>
    <t>EPS</t>
  </si>
  <si>
    <t>Q424</t>
  </si>
  <si>
    <t>CFFO</t>
  </si>
  <si>
    <t>CX</t>
  </si>
  <si>
    <t>FCF</t>
  </si>
  <si>
    <t>Rev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</si>
</sst>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3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0" fontId="1" fillId="0" borderId="0" xfId="0" applyFont="1"/>
    <xf numFmtId="0" fontId="3" fillId="0" borderId="0" xfId="0" applyFont="1"/>
    <xf numFmtId="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D7E9-F398-48FC-9F4B-974E055F0861}">
  <dimension ref="B2:L20"/>
  <sheetViews>
    <sheetView tabSelected="1" zoomScaleNormal="100" workbookViewId="0">
      <selection activeCell="O11" sqref="O11"/>
    </sheetView>
  </sheetViews>
  <sheetFormatPr defaultColWidth="8.7109375" defaultRowHeight="12.75" x14ac:dyDescent="0.2"/>
  <cols>
    <col min="1" max="2" width="8.7109375" style="1"/>
    <col min="3" max="3" width="12" style="1" customWidth="1"/>
    <col min="4" max="4" width="8.7109375" style="1"/>
    <col min="5" max="5" width="23" style="1" customWidth="1"/>
    <col min="6" max="16384" width="8.7109375" style="1"/>
  </cols>
  <sheetData>
    <row r="2" spans="2:12" x14ac:dyDescent="0.2">
      <c r="B2" s="4" t="s">
        <v>7</v>
      </c>
      <c r="E2" s="4" t="s">
        <v>24</v>
      </c>
      <c r="J2" s="1" t="s">
        <v>0</v>
      </c>
      <c r="K2" s="2">
        <v>325</v>
      </c>
    </row>
    <row r="3" spans="2:12" x14ac:dyDescent="0.2">
      <c r="B3" s="1" t="s">
        <v>8</v>
      </c>
      <c r="E3" s="1" t="s">
        <v>25</v>
      </c>
      <c r="J3" s="1" t="s">
        <v>1</v>
      </c>
      <c r="K3" s="3">
        <v>477.93202400000001</v>
      </c>
      <c r="L3" s="7" t="s">
        <v>59</v>
      </c>
    </row>
    <row r="4" spans="2:12" x14ac:dyDescent="0.2">
      <c r="B4" s="1" t="s">
        <v>9</v>
      </c>
      <c r="E4" s="1" t="s">
        <v>26</v>
      </c>
      <c r="J4" s="1" t="s">
        <v>2</v>
      </c>
      <c r="K4" s="3">
        <f>+K2*K3</f>
        <v>155327.90780000002</v>
      </c>
    </row>
    <row r="5" spans="2:12" x14ac:dyDescent="0.2">
      <c r="B5" s="1" t="s">
        <v>10</v>
      </c>
      <c r="E5" s="1" t="s">
        <v>27</v>
      </c>
      <c r="J5" s="1" t="s">
        <v>3</v>
      </c>
      <c r="K5" s="3">
        <v>6889</v>
      </c>
      <c r="L5" s="7" t="s">
        <v>59</v>
      </c>
    </row>
    <row r="6" spans="2:12" x14ac:dyDescent="0.2">
      <c r="B6" s="1" t="s">
        <v>11</v>
      </c>
      <c r="E6" s="1" t="s">
        <v>28</v>
      </c>
      <c r="J6" s="1" t="s">
        <v>4</v>
      </c>
      <c r="K6" s="3">
        <f>8564+46</f>
        <v>8610</v>
      </c>
      <c r="L6" s="7" t="s">
        <v>59</v>
      </c>
    </row>
    <row r="7" spans="2:12" x14ac:dyDescent="0.2">
      <c r="B7" s="1" t="s">
        <v>12</v>
      </c>
      <c r="E7" s="1" t="s">
        <v>29</v>
      </c>
      <c r="J7" s="1" t="s">
        <v>5</v>
      </c>
      <c r="K7" s="3">
        <f>+K4-K5+K6</f>
        <v>157048.90780000002</v>
      </c>
    </row>
    <row r="8" spans="2:12" x14ac:dyDescent="0.2">
      <c r="B8" s="1" t="s">
        <v>13</v>
      </c>
      <c r="E8" s="1" t="s">
        <v>30</v>
      </c>
    </row>
    <row r="9" spans="2:12" x14ac:dyDescent="0.2">
      <c r="B9" s="1" t="s">
        <v>14</v>
      </c>
      <c r="E9" s="1" t="s">
        <v>31</v>
      </c>
    </row>
    <row r="10" spans="2:12" x14ac:dyDescent="0.2">
      <c r="B10" s="1" t="s">
        <v>15</v>
      </c>
      <c r="E10" s="1" t="s">
        <v>32</v>
      </c>
      <c r="J10" s="1" t="s">
        <v>6</v>
      </c>
      <c r="K10" s="1">
        <v>1925</v>
      </c>
    </row>
    <row r="11" spans="2:12" x14ac:dyDescent="0.2">
      <c r="B11" s="1" t="s">
        <v>16</v>
      </c>
      <c r="E11" s="1" t="s">
        <v>33</v>
      </c>
    </row>
    <row r="12" spans="2:12" x14ac:dyDescent="0.2">
      <c r="B12" s="1" t="s">
        <v>17</v>
      </c>
      <c r="E12" s="1" t="s">
        <v>34</v>
      </c>
    </row>
    <row r="13" spans="2:12" x14ac:dyDescent="0.2">
      <c r="B13" s="1" t="s">
        <v>18</v>
      </c>
      <c r="E13" s="1" t="s">
        <v>35</v>
      </c>
    </row>
    <row r="14" spans="2:12" x14ac:dyDescent="0.2">
      <c r="B14" s="1" t="s">
        <v>19</v>
      </c>
      <c r="E14" s="1" t="s">
        <v>36</v>
      </c>
    </row>
    <row r="15" spans="2:12" x14ac:dyDescent="0.2">
      <c r="B15" s="1" t="s">
        <v>20</v>
      </c>
      <c r="E15" s="1" t="s">
        <v>37</v>
      </c>
    </row>
    <row r="16" spans="2:12" x14ac:dyDescent="0.2">
      <c r="B16" s="1" t="s">
        <v>21</v>
      </c>
      <c r="E16" s="1" t="s">
        <v>38</v>
      </c>
    </row>
    <row r="17" spans="2:5" x14ac:dyDescent="0.2">
      <c r="B17" s="1" t="s">
        <v>22</v>
      </c>
      <c r="E17" s="1" t="s">
        <v>40</v>
      </c>
    </row>
    <row r="18" spans="2:5" x14ac:dyDescent="0.2">
      <c r="B18" s="1" t="s">
        <v>23</v>
      </c>
      <c r="E18" s="1" t="s">
        <v>39</v>
      </c>
    </row>
    <row r="19" spans="2:5" x14ac:dyDescent="0.2">
      <c r="E19" s="1" t="s">
        <v>41</v>
      </c>
    </row>
    <row r="20" spans="2:5" x14ac:dyDescent="0.2">
      <c r="E20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382A-E853-4D20-B258-2123FE60C7FD}">
  <dimension ref="A1:L2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2" sqref="O22"/>
    </sheetView>
  </sheetViews>
  <sheetFormatPr defaultColWidth="8.7109375" defaultRowHeight="12.75" x14ac:dyDescent="0.2"/>
  <cols>
    <col min="1" max="1" width="4.5703125" style="1" bestFit="1" customWidth="1"/>
    <col min="2" max="2" width="17.42578125" style="1" customWidth="1"/>
    <col min="3" max="16384" width="8.7109375" style="1"/>
  </cols>
  <sheetData>
    <row r="1" spans="1:12" x14ac:dyDescent="0.2">
      <c r="A1" s="8" t="s">
        <v>42</v>
      </c>
    </row>
    <row r="2" spans="1:12" x14ac:dyDescent="0.2">
      <c r="C2" s="1">
        <v>2015</v>
      </c>
      <c r="D2" s="1">
        <v>2016</v>
      </c>
      <c r="E2" s="1">
        <v>2017</v>
      </c>
      <c r="F2" s="1">
        <v>2018</v>
      </c>
      <c r="G2" s="1">
        <v>2019</v>
      </c>
      <c r="H2" s="1">
        <v>2020</v>
      </c>
      <c r="I2" s="1">
        <v>2021</v>
      </c>
      <c r="J2" s="1">
        <v>2022</v>
      </c>
      <c r="K2" s="1">
        <v>2023</v>
      </c>
      <c r="L2" s="1">
        <v>2024</v>
      </c>
    </row>
    <row r="3" spans="1:12" s="3" customFormat="1" x14ac:dyDescent="0.2">
      <c r="B3" s="3" t="s">
        <v>43</v>
      </c>
      <c r="C3" s="3">
        <v>44147</v>
      </c>
      <c r="D3" s="3">
        <v>35773</v>
      </c>
      <c r="E3" s="3">
        <v>42676</v>
      </c>
      <c r="F3" s="3">
        <v>51822</v>
      </c>
      <c r="G3" s="3">
        <v>50755</v>
      </c>
      <c r="H3" s="3">
        <v>39022</v>
      </c>
      <c r="I3" s="3">
        <v>48188</v>
      </c>
      <c r="J3" s="3">
        <v>56574</v>
      </c>
      <c r="K3" s="3">
        <v>63869</v>
      </c>
      <c r="L3" s="3">
        <v>61363</v>
      </c>
    </row>
    <row r="4" spans="1:12" s="3" customFormat="1" x14ac:dyDescent="0.2">
      <c r="B4" s="3" t="s">
        <v>44</v>
      </c>
      <c r="C4" s="3">
        <v>2864</v>
      </c>
      <c r="D4" s="3">
        <v>2764</v>
      </c>
      <c r="E4" s="3">
        <v>2786</v>
      </c>
      <c r="F4" s="3">
        <v>2900</v>
      </c>
      <c r="G4" s="3">
        <v>3045</v>
      </c>
      <c r="H4" s="3">
        <v>2726</v>
      </c>
      <c r="I4" s="3">
        <v>2783</v>
      </c>
      <c r="J4" s="3">
        <v>2853</v>
      </c>
      <c r="K4" s="3">
        <v>3191</v>
      </c>
      <c r="L4" s="3">
        <v>3446</v>
      </c>
    </row>
    <row r="5" spans="1:12" s="3" customFormat="1" x14ac:dyDescent="0.2"/>
    <row r="6" spans="1:12" s="5" customFormat="1" x14ac:dyDescent="0.2">
      <c r="B6" s="5" t="s">
        <v>45</v>
      </c>
      <c r="C6" s="5">
        <f>+C3+C4</f>
        <v>47011</v>
      </c>
      <c r="D6" s="5">
        <f>+D3+D4</f>
        <v>38537</v>
      </c>
      <c r="E6" s="5">
        <f>+E3+E4</f>
        <v>45462</v>
      </c>
      <c r="F6" s="5">
        <f>+F3+F4</f>
        <v>54722</v>
      </c>
      <c r="G6" s="5">
        <f>+G3+G4</f>
        <v>53800</v>
      </c>
      <c r="H6" s="5">
        <f>+H3+H4</f>
        <v>41748</v>
      </c>
      <c r="I6" s="5">
        <f>+I3+I4</f>
        <v>50971</v>
      </c>
      <c r="J6" s="5">
        <f>+J3+J4</f>
        <v>59427</v>
      </c>
      <c r="K6" s="5">
        <f>+K3+K4</f>
        <v>67060</v>
      </c>
      <c r="L6" s="5">
        <f>+L3+L4</f>
        <v>64809</v>
      </c>
    </row>
    <row r="7" spans="1:12" s="3" customFormat="1" x14ac:dyDescent="0.2">
      <c r="B7" s="3" t="s">
        <v>46</v>
      </c>
      <c r="C7" s="3">
        <v>33546</v>
      </c>
      <c r="D7" s="3">
        <v>28044</v>
      </c>
      <c r="E7" s="3">
        <v>31260</v>
      </c>
      <c r="F7" s="3">
        <v>36997</v>
      </c>
      <c r="G7" s="3">
        <v>36630</v>
      </c>
      <c r="H7" s="3">
        <v>29082</v>
      </c>
      <c r="I7" s="3">
        <v>35513</v>
      </c>
      <c r="J7" s="3">
        <v>41350</v>
      </c>
      <c r="K7" s="3">
        <v>42767</v>
      </c>
      <c r="L7" s="3">
        <v>40199</v>
      </c>
    </row>
    <row r="8" spans="1:12" s="3" customFormat="1" x14ac:dyDescent="0.2">
      <c r="B8" s="3" t="s">
        <v>48</v>
      </c>
      <c r="C8" s="3">
        <f t="shared" ref="C8:L8" si="0">+C6-C7</f>
        <v>13465</v>
      </c>
      <c r="D8" s="3">
        <f t="shared" si="0"/>
        <v>10493</v>
      </c>
      <c r="E8" s="3">
        <f t="shared" si="0"/>
        <v>14202</v>
      </c>
      <c r="F8" s="3">
        <f t="shared" si="0"/>
        <v>17725</v>
      </c>
      <c r="G8" s="3">
        <f t="shared" si="0"/>
        <v>17170</v>
      </c>
      <c r="H8" s="3">
        <f t="shared" si="0"/>
        <v>12666</v>
      </c>
      <c r="I8" s="3">
        <f t="shared" si="0"/>
        <v>15458</v>
      </c>
      <c r="J8" s="3">
        <f t="shared" si="0"/>
        <v>18077</v>
      </c>
      <c r="K8" s="3">
        <f t="shared" si="0"/>
        <v>24293</v>
      </c>
      <c r="L8" s="3">
        <f t="shared" si="0"/>
        <v>24610</v>
      </c>
    </row>
    <row r="9" spans="1:12" x14ac:dyDescent="0.2">
      <c r="B9" s="1" t="s">
        <v>49</v>
      </c>
      <c r="C9" s="3">
        <v>4951</v>
      </c>
      <c r="D9" s="3">
        <v>4383</v>
      </c>
      <c r="E9" s="3">
        <v>4999</v>
      </c>
      <c r="F9" s="3">
        <v>5478</v>
      </c>
      <c r="G9" s="3">
        <v>5162</v>
      </c>
      <c r="H9" s="3">
        <v>4642</v>
      </c>
      <c r="I9" s="3">
        <v>5365</v>
      </c>
      <c r="J9" s="3">
        <v>5651</v>
      </c>
      <c r="K9" s="3">
        <v>6371</v>
      </c>
      <c r="L9" s="3">
        <v>6667</v>
      </c>
    </row>
    <row r="10" spans="1:12" x14ac:dyDescent="0.2">
      <c r="B10" s="1" t="s">
        <v>50</v>
      </c>
      <c r="C10" s="3">
        <v>2119</v>
      </c>
      <c r="D10" s="3">
        <v>1853</v>
      </c>
      <c r="E10" s="3">
        <v>1842</v>
      </c>
      <c r="F10" s="3">
        <v>1850</v>
      </c>
      <c r="G10" s="3">
        <v>1693</v>
      </c>
      <c r="H10" s="3">
        <v>1415</v>
      </c>
      <c r="I10" s="3">
        <v>1686</v>
      </c>
      <c r="J10" s="3">
        <v>1814</v>
      </c>
      <c r="K10" s="3">
        <v>2108</v>
      </c>
      <c r="L10" s="3">
        <v>2107</v>
      </c>
    </row>
    <row r="11" spans="1:12" x14ac:dyDescent="0.2">
      <c r="B11" s="1" t="s">
        <v>54</v>
      </c>
      <c r="C11" s="3">
        <f>587+2023</f>
        <v>2610</v>
      </c>
      <c r="D11" s="3">
        <f>596+1904</f>
        <v>2500</v>
      </c>
      <c r="E11" s="3">
        <f>646+2255</f>
        <v>2901</v>
      </c>
      <c r="F11" s="3">
        <f>722+1382</f>
        <v>2104</v>
      </c>
      <c r="G11" s="3">
        <f>754+1271</f>
        <v>2025</v>
      </c>
      <c r="H11" s="3">
        <f>589+1467</f>
        <v>2056</v>
      </c>
      <c r="I11" s="3">
        <f>455+1074</f>
        <v>1529</v>
      </c>
      <c r="J11" s="3">
        <f>565+1218</f>
        <v>1783</v>
      </c>
      <c r="K11" s="3">
        <f>1030+1818</f>
        <v>2848</v>
      </c>
      <c r="L11" s="3">
        <f>1286+1478</f>
        <v>2764</v>
      </c>
    </row>
    <row r="12" spans="1:12" x14ac:dyDescent="0.2">
      <c r="B12" s="1" t="s">
        <v>51</v>
      </c>
      <c r="C12" s="3">
        <f t="shared" ref="C12:J12" si="1">+C11+C10+C9</f>
        <v>9680</v>
      </c>
      <c r="D12" s="3">
        <f t="shared" si="1"/>
        <v>8736</v>
      </c>
      <c r="E12" s="3">
        <f t="shared" si="1"/>
        <v>9742</v>
      </c>
      <c r="F12" s="3">
        <f t="shared" si="1"/>
        <v>9432</v>
      </c>
      <c r="G12" s="3">
        <f t="shared" si="1"/>
        <v>8880</v>
      </c>
      <c r="H12" s="3">
        <f t="shared" si="1"/>
        <v>8113</v>
      </c>
      <c r="I12" s="3">
        <f t="shared" si="1"/>
        <v>8580</v>
      </c>
      <c r="J12" s="3">
        <f t="shared" si="1"/>
        <v>9248</v>
      </c>
      <c r="K12" s="3">
        <f t="shared" ref="K12:L12" si="2">+K11+K10+K9</f>
        <v>11327</v>
      </c>
      <c r="L12" s="3">
        <f t="shared" si="2"/>
        <v>11538</v>
      </c>
    </row>
    <row r="13" spans="1:12" x14ac:dyDescent="0.2">
      <c r="B13" s="1" t="s">
        <v>53</v>
      </c>
      <c r="C13" s="3">
        <f t="shared" ref="C13:J13" si="3">+C8-C12</f>
        <v>3785</v>
      </c>
      <c r="D13" s="3">
        <f t="shared" si="3"/>
        <v>1757</v>
      </c>
      <c r="E13" s="3">
        <f t="shared" si="3"/>
        <v>4460</v>
      </c>
      <c r="F13" s="3">
        <f t="shared" si="3"/>
        <v>8293</v>
      </c>
      <c r="G13" s="3">
        <f t="shared" si="3"/>
        <v>8290</v>
      </c>
      <c r="H13" s="3">
        <f t="shared" si="3"/>
        <v>4553</v>
      </c>
      <c r="I13" s="3">
        <f t="shared" si="3"/>
        <v>6878</v>
      </c>
      <c r="J13" s="3">
        <f t="shared" si="3"/>
        <v>8829</v>
      </c>
      <c r="K13" s="3">
        <f t="shared" ref="K13:L13" si="4">+K8-K12</f>
        <v>12966</v>
      </c>
      <c r="L13" s="3">
        <f t="shared" si="4"/>
        <v>13072</v>
      </c>
    </row>
    <row r="14" spans="1:12" s="3" customFormat="1" x14ac:dyDescent="0.2">
      <c r="B14" s="3" t="s">
        <v>52</v>
      </c>
      <c r="C14" s="3">
        <f>-507+161</f>
        <v>-346</v>
      </c>
      <c r="D14" s="3">
        <f>508-518</f>
        <v>-10</v>
      </c>
      <c r="E14" s="3">
        <f>-531+153</f>
        <v>-378</v>
      </c>
      <c r="F14" s="3">
        <f>-404-67</f>
        <v>-471</v>
      </c>
      <c r="G14" s="3">
        <f>-421-57</f>
        <v>-478</v>
      </c>
      <c r="H14" s="3">
        <f>-514-44</f>
        <v>-558</v>
      </c>
      <c r="I14" s="3">
        <f>-488+1814</f>
        <v>1326</v>
      </c>
      <c r="J14" s="3">
        <f>-443+1291</f>
        <v>848</v>
      </c>
      <c r="K14" s="3">
        <f>-511+595</f>
        <v>84</v>
      </c>
      <c r="L14" s="3">
        <f>-512+813</f>
        <v>301</v>
      </c>
    </row>
    <row r="15" spans="1:12" x14ac:dyDescent="0.2">
      <c r="B15" s="1" t="s">
        <v>55</v>
      </c>
      <c r="C15" s="3">
        <f t="shared" ref="C15:L15" si="5">+C13+C14</f>
        <v>3439</v>
      </c>
      <c r="D15" s="3">
        <f t="shared" si="5"/>
        <v>1747</v>
      </c>
      <c r="E15" s="3">
        <f t="shared" si="5"/>
        <v>4082</v>
      </c>
      <c r="F15" s="3">
        <f t="shared" si="5"/>
        <v>7822</v>
      </c>
      <c r="G15" s="3">
        <f t="shared" si="5"/>
        <v>7812</v>
      </c>
      <c r="H15" s="3">
        <f t="shared" si="5"/>
        <v>3995</v>
      </c>
      <c r="I15" s="3">
        <f t="shared" si="5"/>
        <v>8204</v>
      </c>
      <c r="J15" s="3">
        <f t="shared" si="5"/>
        <v>9677</v>
      </c>
      <c r="K15" s="3">
        <f t="shared" si="5"/>
        <v>13050</v>
      </c>
      <c r="L15" s="3">
        <f t="shared" si="5"/>
        <v>13373</v>
      </c>
    </row>
    <row r="16" spans="1:12" x14ac:dyDescent="0.2">
      <c r="B16" s="1" t="s">
        <v>56</v>
      </c>
      <c r="C16" s="3">
        <v>916</v>
      </c>
      <c r="D16" s="3">
        <v>192</v>
      </c>
      <c r="E16" s="3">
        <v>3339</v>
      </c>
      <c r="F16" s="3">
        <v>1698</v>
      </c>
      <c r="G16" s="3">
        <v>1746</v>
      </c>
      <c r="H16" s="3">
        <v>1006</v>
      </c>
      <c r="I16" s="3">
        <v>1742</v>
      </c>
      <c r="J16" s="3">
        <v>2067</v>
      </c>
      <c r="K16" s="3">
        <v>2781</v>
      </c>
      <c r="L16" s="3">
        <v>2629</v>
      </c>
    </row>
    <row r="17" spans="2:12" x14ac:dyDescent="0.2">
      <c r="B17" s="1" t="s">
        <v>57</v>
      </c>
      <c r="C17" s="3">
        <f t="shared" ref="C17:L17" si="6">+C15-C16</f>
        <v>2523</v>
      </c>
      <c r="D17" s="3">
        <f t="shared" si="6"/>
        <v>1555</v>
      </c>
      <c r="E17" s="3">
        <f t="shared" si="6"/>
        <v>743</v>
      </c>
      <c r="F17" s="3">
        <f t="shared" si="6"/>
        <v>6124</v>
      </c>
      <c r="G17" s="3">
        <f t="shared" si="6"/>
        <v>6066</v>
      </c>
      <c r="H17" s="3">
        <f t="shared" si="6"/>
        <v>2989</v>
      </c>
      <c r="I17" s="3">
        <f t="shared" si="6"/>
        <v>6462</v>
      </c>
      <c r="J17" s="3">
        <f t="shared" si="6"/>
        <v>7610</v>
      </c>
      <c r="K17" s="3">
        <f t="shared" si="6"/>
        <v>10269</v>
      </c>
      <c r="L17" s="3">
        <f t="shared" si="6"/>
        <v>10744</v>
      </c>
    </row>
    <row r="18" spans="2:12" s="10" customFormat="1" x14ac:dyDescent="0.2">
      <c r="B18" s="10" t="s">
        <v>58</v>
      </c>
      <c r="C18" s="11">
        <f t="shared" ref="C18:J18" si="7">+C17/C19</f>
        <v>4.1959088641277233</v>
      </c>
      <c r="D18" s="11">
        <f t="shared" si="7"/>
        <v>2.6613041245935309</v>
      </c>
      <c r="E18" s="11">
        <f t="shared" si="7"/>
        <v>1.2397797430335393</v>
      </c>
      <c r="F18" s="11">
        <f t="shared" si="7"/>
        <v>10.216883550216885</v>
      </c>
      <c r="G18" s="11">
        <f t="shared" si="7"/>
        <v>10.688986784140969</v>
      </c>
      <c r="H18" s="11">
        <f t="shared" si="7"/>
        <v>5.448414145096609</v>
      </c>
      <c r="I18" s="11">
        <f t="shared" si="7"/>
        <v>11.781221513217867</v>
      </c>
      <c r="J18" s="11">
        <f t="shared" si="7"/>
        <v>14.347662141779789</v>
      </c>
      <c r="K18" s="11">
        <f t="shared" ref="K18:L18" si="8">+K17/K19</f>
        <v>19.99415887850467</v>
      </c>
      <c r="L18" s="11">
        <f t="shared" si="8"/>
        <v>21.953412341642828</v>
      </c>
    </row>
    <row r="19" spans="2:12" x14ac:dyDescent="0.2">
      <c r="B19" s="1" t="s">
        <v>1</v>
      </c>
      <c r="C19" s="3">
        <v>601.29999999999995</v>
      </c>
      <c r="D19" s="3">
        <v>584.29999999999995</v>
      </c>
      <c r="E19" s="3">
        <v>599.29999999999995</v>
      </c>
      <c r="F19" s="3">
        <v>599.4</v>
      </c>
      <c r="G19" s="3">
        <v>567.5</v>
      </c>
      <c r="H19" s="3">
        <v>548.6</v>
      </c>
      <c r="I19" s="3">
        <v>548.5</v>
      </c>
      <c r="J19" s="3">
        <v>530.4</v>
      </c>
      <c r="K19" s="3">
        <v>513.6</v>
      </c>
      <c r="L19" s="3">
        <v>489.4</v>
      </c>
    </row>
    <row r="21" spans="2:12" x14ac:dyDescent="0.2">
      <c r="B21" s="9" t="s">
        <v>63</v>
      </c>
      <c r="D21" s="6">
        <f>D3/C3-1</f>
        <v>-0.18968446327043742</v>
      </c>
      <c r="E21" s="6">
        <f t="shared" ref="E21:L21" si="9">E3/D3-1</f>
        <v>0.19296676264221624</v>
      </c>
      <c r="F21" s="6">
        <f t="shared" si="9"/>
        <v>0.21431249414190656</v>
      </c>
      <c r="G21" s="6">
        <f t="shared" si="9"/>
        <v>-2.0589710933580307E-2</v>
      </c>
      <c r="H21" s="6">
        <f t="shared" si="9"/>
        <v>-0.23116934292187963</v>
      </c>
      <c r="I21" s="6">
        <f t="shared" si="9"/>
        <v>0.23489313720465388</v>
      </c>
      <c r="J21" s="6">
        <f t="shared" si="9"/>
        <v>0.17402672864613589</v>
      </c>
      <c r="K21" s="6">
        <f t="shared" si="9"/>
        <v>0.12894615901297413</v>
      </c>
      <c r="L21" s="6">
        <f t="shared" si="9"/>
        <v>-3.9236562338536674E-2</v>
      </c>
    </row>
    <row r="22" spans="2:12" x14ac:dyDescent="0.2">
      <c r="B22" s="1" t="s">
        <v>47</v>
      </c>
      <c r="C22" s="6">
        <f t="shared" ref="C22:L22" si="10">C8/C6</f>
        <v>0.28642232668949819</v>
      </c>
      <c r="D22" s="6">
        <f t="shared" si="10"/>
        <v>0.27228377922516023</v>
      </c>
      <c r="E22" s="6">
        <f t="shared" si="10"/>
        <v>0.31239276758611589</v>
      </c>
      <c r="F22" s="6">
        <f t="shared" si="10"/>
        <v>0.32390994481195862</v>
      </c>
      <c r="G22" s="6">
        <f t="shared" si="10"/>
        <v>0.31914498141263942</v>
      </c>
      <c r="H22" s="6">
        <f t="shared" si="10"/>
        <v>0.30339177924691002</v>
      </c>
      <c r="I22" s="6">
        <f t="shared" si="10"/>
        <v>0.30327048713974614</v>
      </c>
      <c r="J22" s="6">
        <f t="shared" si="10"/>
        <v>0.30418833190300704</v>
      </c>
      <c r="K22" s="6">
        <f t="shared" si="10"/>
        <v>0.36225767968983003</v>
      </c>
      <c r="L22" s="6">
        <f t="shared" si="10"/>
        <v>0.3797312101714268</v>
      </c>
    </row>
    <row r="25" spans="2:12" s="3" customFormat="1" x14ac:dyDescent="0.2">
      <c r="B25" s="3" t="s">
        <v>60</v>
      </c>
      <c r="C25" s="3">
        <v>6699</v>
      </c>
      <c r="D25" s="3">
        <v>5639</v>
      </c>
      <c r="E25" s="3">
        <v>5706</v>
      </c>
      <c r="F25" s="3">
        <v>6558</v>
      </c>
      <c r="G25" s="3">
        <v>6912</v>
      </c>
      <c r="H25" s="3">
        <v>6327</v>
      </c>
      <c r="I25" s="3">
        <v>7198</v>
      </c>
      <c r="J25" s="3">
        <v>7766</v>
      </c>
      <c r="K25" s="3">
        <v>12885</v>
      </c>
      <c r="L25" s="3">
        <v>12035</v>
      </c>
    </row>
    <row r="26" spans="2:12" s="3" customFormat="1" x14ac:dyDescent="0.2">
      <c r="B26" s="3" t="s">
        <v>61</v>
      </c>
      <c r="C26" s="3">
        <v>1388</v>
      </c>
      <c r="D26" s="3">
        <v>1109</v>
      </c>
      <c r="E26" s="3">
        <v>898</v>
      </c>
      <c r="F26" s="3">
        <v>1276</v>
      </c>
      <c r="G26" s="3">
        <v>1056</v>
      </c>
      <c r="H26" s="3">
        <v>978</v>
      </c>
      <c r="I26" s="3">
        <v>1093</v>
      </c>
      <c r="J26" s="3">
        <v>1296</v>
      </c>
      <c r="K26" s="3">
        <v>1597</v>
      </c>
      <c r="L26" s="3">
        <v>1988</v>
      </c>
    </row>
    <row r="27" spans="2:12" s="3" customFormat="1" x14ac:dyDescent="0.2">
      <c r="B27" s="3" t="s">
        <v>62</v>
      </c>
      <c r="C27" s="3">
        <f t="shared" ref="C27:L27" si="11">+C25-C26</f>
        <v>5311</v>
      </c>
      <c r="D27" s="3">
        <f t="shared" si="11"/>
        <v>4530</v>
      </c>
      <c r="E27" s="3">
        <f t="shared" si="11"/>
        <v>4808</v>
      </c>
      <c r="F27" s="3">
        <f t="shared" si="11"/>
        <v>5282</v>
      </c>
      <c r="G27" s="3">
        <f t="shared" si="11"/>
        <v>5856</v>
      </c>
      <c r="H27" s="3">
        <f t="shared" si="11"/>
        <v>5349</v>
      </c>
      <c r="I27" s="3">
        <f t="shared" si="11"/>
        <v>6105</v>
      </c>
      <c r="J27" s="3">
        <f t="shared" si="11"/>
        <v>6470</v>
      </c>
      <c r="K27" s="3">
        <f t="shared" si="11"/>
        <v>11288</v>
      </c>
      <c r="L27" s="3">
        <f t="shared" si="11"/>
        <v>10047</v>
      </c>
    </row>
  </sheetData>
  <hyperlinks>
    <hyperlink ref="A1" location="Main!A1" display="Main" xr:uid="{A1C05840-8CA3-41C8-90A5-A89B0CE07A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2025-03-31T13:32:05Z</dcterms:created>
  <dcterms:modified xsi:type="dcterms:W3CDTF">2025-10-08T12:21:28Z</dcterms:modified>
</cp:coreProperties>
</file>