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en\Downloads\"/>
    </mc:Choice>
  </mc:AlternateContent>
  <xr:revisionPtr revIDLastSave="0" documentId="8_{D9F2B7DD-5A6A-4ADA-8EDC-D9EDEF8E0BB1}" xr6:coauthVersionLast="47" xr6:coauthVersionMax="47" xr10:uidLastSave="{00000000-0000-0000-0000-000000000000}"/>
  <bookViews>
    <workbookView xWindow="1950" yWindow="1950" windowWidth="18075" windowHeight="16020" xr2:uid="{3894AF94-BE21-442D-A877-D6ABCA1EFCA8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0" i="2" l="1"/>
  <c r="R6" i="2"/>
  <c r="R13" i="2"/>
  <c r="R11" i="2"/>
  <c r="R5" i="2"/>
  <c r="R7" i="2" s="1"/>
  <c r="Q13" i="2"/>
  <c r="Q11" i="2"/>
  <c r="Q6" i="2"/>
  <c r="Q5" i="2"/>
  <c r="Q7" i="2" s="1"/>
  <c r="Q12" i="2" s="1"/>
  <c r="Q14" i="2" s="1"/>
  <c r="Q16" i="2" s="1"/>
  <c r="Q17" i="2" s="1"/>
  <c r="F13" i="2"/>
  <c r="F6" i="2"/>
  <c r="F11" i="2"/>
  <c r="F5" i="2"/>
  <c r="J6" i="2"/>
  <c r="J7" i="2" s="1"/>
  <c r="K50" i="2"/>
  <c r="K51" i="2" s="1"/>
  <c r="K35" i="2"/>
  <c r="K33" i="2"/>
  <c r="K28" i="2"/>
  <c r="K31" i="2" s="1"/>
  <c r="G13" i="2"/>
  <c r="G6" i="2"/>
  <c r="G11" i="2"/>
  <c r="G5" i="2"/>
  <c r="K13" i="2"/>
  <c r="K6" i="2"/>
  <c r="K11" i="2"/>
  <c r="K5" i="2"/>
  <c r="K7" i="2" s="1"/>
  <c r="L33" i="2"/>
  <c r="L35" i="2"/>
  <c r="L28" i="2"/>
  <c r="L31" i="2" s="1"/>
  <c r="H13" i="2"/>
  <c r="L13" i="2"/>
  <c r="H6" i="2"/>
  <c r="J11" i="2"/>
  <c r="I11" i="2"/>
  <c r="I12" i="2" s="1"/>
  <c r="H11" i="2"/>
  <c r="L11" i="2"/>
  <c r="L6" i="2"/>
  <c r="J5" i="2"/>
  <c r="I5" i="2"/>
  <c r="H5" i="2"/>
  <c r="L5" i="2"/>
  <c r="K6" i="1"/>
  <c r="K4" i="1"/>
  <c r="H7" i="2" l="1"/>
  <c r="J12" i="2"/>
  <c r="J14" i="2" s="1"/>
  <c r="J16" i="2" s="1"/>
  <c r="J17" i="2" s="1"/>
  <c r="R12" i="2"/>
  <c r="R14" i="2" s="1"/>
  <c r="R16" i="2" s="1"/>
  <c r="R17" i="2" s="1"/>
  <c r="F7" i="2"/>
  <c r="F12" i="2" s="1"/>
  <c r="F14" i="2" s="1"/>
  <c r="F16" i="2" s="1"/>
  <c r="F17" i="2" s="1"/>
  <c r="L7" i="2"/>
  <c r="L12" i="2" s="1"/>
  <c r="L14" i="2" s="1"/>
  <c r="L16" i="2" s="1"/>
  <c r="L17" i="2" s="1"/>
  <c r="L38" i="2"/>
  <c r="K38" i="2"/>
  <c r="G7" i="2"/>
  <c r="G12" i="2" s="1"/>
  <c r="G14" i="2" s="1"/>
  <c r="G16" i="2" s="1"/>
  <c r="G17" i="2" s="1"/>
  <c r="K12" i="2"/>
  <c r="K14" i="2" s="1"/>
  <c r="K16" i="2" s="1"/>
  <c r="H12" i="2"/>
  <c r="H14" i="2" s="1"/>
  <c r="H16" i="2" s="1"/>
  <c r="H17" i="2" s="1"/>
  <c r="K7" i="1"/>
  <c r="K17" i="2" l="1"/>
  <c r="K40" i="2"/>
</calcChain>
</file>

<file path=xl/sharedStrings.xml><?xml version="1.0" encoding="utf-8"?>
<sst xmlns="http://schemas.openxmlformats.org/spreadsheetml/2006/main" count="86" uniqueCount="78">
  <si>
    <t>Price</t>
  </si>
  <si>
    <t>Shares</t>
  </si>
  <si>
    <t>MC</t>
  </si>
  <si>
    <t>Cash</t>
  </si>
  <si>
    <t>Debt</t>
  </si>
  <si>
    <t>EV</t>
  </si>
  <si>
    <t>Software</t>
  </si>
  <si>
    <t>Hardware</t>
  </si>
  <si>
    <t>IP</t>
  </si>
  <si>
    <t>Customers</t>
  </si>
  <si>
    <t>SOCs</t>
  </si>
  <si>
    <t>Product Types</t>
  </si>
  <si>
    <t>Smartphones</t>
  </si>
  <si>
    <t>Laptop</t>
  </si>
  <si>
    <t>Gaming systems</t>
  </si>
  <si>
    <t>Autos</t>
  </si>
  <si>
    <t>Servers</t>
  </si>
  <si>
    <t>Cloud data Center infrastructure</t>
  </si>
  <si>
    <t>AI systems</t>
  </si>
  <si>
    <t>Aerospace &amp; Defense</t>
  </si>
  <si>
    <t>Medical</t>
  </si>
  <si>
    <t>Networking</t>
  </si>
  <si>
    <t>ICs - circuit blocks, design blocks</t>
  </si>
  <si>
    <t>Q224</t>
  </si>
  <si>
    <t>Main</t>
  </si>
  <si>
    <t>Revenue</t>
  </si>
  <si>
    <t>Q122</t>
  </si>
  <si>
    <t>Q222</t>
  </si>
  <si>
    <t>Q322</t>
  </si>
  <si>
    <t>Q422</t>
  </si>
  <si>
    <t>Q123</t>
  </si>
  <si>
    <t>Q223</t>
  </si>
  <si>
    <t>Q323</t>
  </si>
  <si>
    <t>Q423</t>
  </si>
  <si>
    <t>Q124</t>
  </si>
  <si>
    <t>Q324</t>
  </si>
  <si>
    <t>Q424</t>
  </si>
  <si>
    <t>Services</t>
  </si>
  <si>
    <t>Product</t>
  </si>
  <si>
    <t>Operating Income</t>
  </si>
  <si>
    <t>Operating Expenses</t>
  </si>
  <si>
    <t>Gross Profit</t>
  </si>
  <si>
    <t>COGS</t>
  </si>
  <si>
    <t>M&amp;S</t>
  </si>
  <si>
    <t>R&amp;D</t>
  </si>
  <si>
    <t>G&amp;A</t>
  </si>
  <si>
    <t>EPS</t>
  </si>
  <si>
    <t>Net Income</t>
  </si>
  <si>
    <t>Taxes</t>
  </si>
  <si>
    <t>Pretax Income</t>
  </si>
  <si>
    <t>Interest Income</t>
  </si>
  <si>
    <t>AR</t>
  </si>
  <si>
    <t>Inventories</t>
  </si>
  <si>
    <t>Prepaids</t>
  </si>
  <si>
    <t>Goodwill</t>
  </si>
  <si>
    <t>DT</t>
  </si>
  <si>
    <t>PP&amp;E</t>
  </si>
  <si>
    <t>Assets</t>
  </si>
  <si>
    <t>Other</t>
  </si>
  <si>
    <t>L+SE</t>
  </si>
  <si>
    <t>SE</t>
  </si>
  <si>
    <t>AP</t>
  </si>
  <si>
    <t>DR</t>
  </si>
  <si>
    <t>OLTL</t>
  </si>
  <si>
    <t>Custom IC Design</t>
  </si>
  <si>
    <t>Digital IC Design and Signoff</t>
  </si>
  <si>
    <t>Functional Verification including Emulation and Prototyping</t>
  </si>
  <si>
    <t>System Design and Analysis</t>
  </si>
  <si>
    <t>Model NI</t>
  </si>
  <si>
    <t>Reported NI</t>
  </si>
  <si>
    <t>CFFO</t>
  </si>
  <si>
    <t>D&amp;A</t>
  </si>
  <si>
    <t>Amortization of Debt Discount</t>
  </si>
  <si>
    <t>SBC</t>
  </si>
  <si>
    <t>Gain on Investments</t>
  </si>
  <si>
    <t>ABA</t>
  </si>
  <si>
    <t>WC</t>
  </si>
  <si>
    <t>Revenue y/y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</si>
</sst>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  <xf numFmtId="0" fontId="1" fillId="0" borderId="0" xfId="0" applyFont="1"/>
    <xf numFmtId="3" fontId="0" fillId="0" borderId="0" xfId="0" applyNumberFormat="1" applyAlignment="1">
      <alignment horizontal="right"/>
    </xf>
    <xf numFmtId="3" fontId="2" fillId="0" borderId="0" xfId="0" applyNumberFormat="1" applyFont="1"/>
    <xf numFmtId="3" fontId="2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0" fillId="0" borderId="0" xfId="0" applyNumberFormat="1"/>
    <xf numFmtId="0" fontId="0" fillId="0" borderId="0" xfId="0" applyFont="1"/>
    <xf numFmtId="4" fontId="0" fillId="0" borderId="0" xfId="0" applyNumberFormat="1" applyFont="1"/>
    <xf numFmtId="3" fontId="0" fillId="0" borderId="0" xfId="0" applyNumberFormat="1" applyFont="1"/>
    <xf numFmtId="0" fontId="0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35719</xdr:colOff>
      <xdr:row>0</xdr:row>
      <xdr:rowOff>35719</xdr:rowOff>
    </xdr:from>
    <xdr:to>
      <xdr:col>12</xdr:col>
      <xdr:colOff>35719</xdr:colOff>
      <xdr:row>69</xdr:row>
      <xdr:rowOff>149087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0B64C658-A63D-FE8E-28B3-F877BEC75434}"/>
            </a:ext>
          </a:extLst>
        </xdr:cNvPr>
        <xdr:cNvCxnSpPr/>
      </xdr:nvCxnSpPr>
      <xdr:spPr>
        <a:xfrm>
          <a:off x="9809197" y="35719"/>
          <a:ext cx="0" cy="956658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446EC4-BE8F-4485-80D8-F5AF48D5C44B}">
  <dimension ref="B2:L20"/>
  <sheetViews>
    <sheetView tabSelected="1" zoomScaleNormal="100" workbookViewId="0">
      <selection activeCell="M7" sqref="M7"/>
    </sheetView>
  </sheetViews>
  <sheetFormatPr defaultRowHeight="12.75" x14ac:dyDescent="0.2"/>
  <cols>
    <col min="1" max="16384" width="9.140625" style="11"/>
  </cols>
  <sheetData>
    <row r="2" spans="2:12" x14ac:dyDescent="0.2">
      <c r="B2" s="11" t="s">
        <v>6</v>
      </c>
      <c r="J2" s="11" t="s">
        <v>0</v>
      </c>
      <c r="K2" s="12">
        <v>253</v>
      </c>
    </row>
    <row r="3" spans="2:12" x14ac:dyDescent="0.2">
      <c r="B3" s="11" t="s">
        <v>7</v>
      </c>
      <c r="J3" s="11" t="s">
        <v>1</v>
      </c>
      <c r="K3" s="13">
        <v>273.82</v>
      </c>
      <c r="L3" s="14" t="s">
        <v>23</v>
      </c>
    </row>
    <row r="4" spans="2:12" x14ac:dyDescent="0.2">
      <c r="B4" s="11" t="s">
        <v>8</v>
      </c>
      <c r="J4" s="11" t="s">
        <v>2</v>
      </c>
      <c r="K4" s="13">
        <f>+K2*K3</f>
        <v>69276.459999999992</v>
      </c>
    </row>
    <row r="5" spans="2:12" x14ac:dyDescent="0.2">
      <c r="J5" s="11" t="s">
        <v>3</v>
      </c>
      <c r="K5" s="13">
        <v>1058.9549999999999</v>
      </c>
      <c r="L5" s="14" t="s">
        <v>23</v>
      </c>
    </row>
    <row r="6" spans="2:12" x14ac:dyDescent="0.2">
      <c r="B6" s="4" t="s">
        <v>9</v>
      </c>
      <c r="J6" s="11" t="s">
        <v>4</v>
      </c>
      <c r="K6" s="13">
        <f>349.732+998.935</f>
        <v>1348.6669999999999</v>
      </c>
      <c r="L6" s="14" t="s">
        <v>23</v>
      </c>
    </row>
    <row r="7" spans="2:12" x14ac:dyDescent="0.2">
      <c r="B7" s="11" t="s">
        <v>22</v>
      </c>
      <c r="J7" s="11" t="s">
        <v>5</v>
      </c>
      <c r="K7" s="13">
        <f>+K4-K5+K6</f>
        <v>69566.171999999991</v>
      </c>
    </row>
    <row r="8" spans="2:12" x14ac:dyDescent="0.2">
      <c r="B8" s="11" t="s">
        <v>10</v>
      </c>
    </row>
    <row r="10" spans="2:12" x14ac:dyDescent="0.2">
      <c r="B10" s="4" t="s">
        <v>11</v>
      </c>
    </row>
    <row r="11" spans="2:12" x14ac:dyDescent="0.2">
      <c r="B11" s="11" t="s">
        <v>12</v>
      </c>
    </row>
    <row r="12" spans="2:12" x14ac:dyDescent="0.2">
      <c r="B12" s="11" t="s">
        <v>13</v>
      </c>
    </row>
    <row r="13" spans="2:12" x14ac:dyDescent="0.2">
      <c r="B13" s="11" t="s">
        <v>14</v>
      </c>
    </row>
    <row r="14" spans="2:12" x14ac:dyDescent="0.2">
      <c r="B14" s="11" t="s">
        <v>15</v>
      </c>
    </row>
    <row r="15" spans="2:12" x14ac:dyDescent="0.2">
      <c r="B15" s="11" t="s">
        <v>16</v>
      </c>
    </row>
    <row r="16" spans="2:12" x14ac:dyDescent="0.2">
      <c r="B16" s="11" t="s">
        <v>17</v>
      </c>
    </row>
    <row r="17" spans="2:2" x14ac:dyDescent="0.2">
      <c r="B17" s="11" t="s">
        <v>18</v>
      </c>
    </row>
    <row r="18" spans="2:2" x14ac:dyDescent="0.2">
      <c r="B18" s="11" t="s">
        <v>19</v>
      </c>
    </row>
    <row r="19" spans="2:2" x14ac:dyDescent="0.2">
      <c r="B19" s="11" t="s">
        <v>20</v>
      </c>
    </row>
    <row r="20" spans="2:2" x14ac:dyDescent="0.2">
      <c r="B20" s="11" t="s">
        <v>21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FD243-ACC5-4DE3-8B7B-FD689A1E2988}">
  <dimension ref="A1:S58"/>
  <sheetViews>
    <sheetView zoomScaleNormal="100" workbookViewId="0">
      <pane xSplit="2" ySplit="2" topLeftCell="F3" activePane="bottomRight" state="frozen"/>
      <selection pane="topRight" activeCell="C1" sqref="C1"/>
      <selection pane="bottomLeft" activeCell="A3" sqref="A3"/>
      <selection pane="bottomRight" activeCell="O25" sqref="O25"/>
    </sheetView>
  </sheetViews>
  <sheetFormatPr defaultRowHeight="12.75" x14ac:dyDescent="0.2"/>
  <cols>
    <col min="1" max="1" width="4.5703125" bestFit="1" customWidth="1"/>
    <col min="2" max="2" width="27.140625" customWidth="1"/>
    <col min="3" max="14" width="8.7109375" style="3"/>
  </cols>
  <sheetData>
    <row r="1" spans="1:19" x14ac:dyDescent="0.2">
      <c r="A1" t="s">
        <v>24</v>
      </c>
    </row>
    <row r="2" spans="1:19" x14ac:dyDescent="0.2">
      <c r="C2" s="3" t="s">
        <v>26</v>
      </c>
      <c r="D2" s="3" t="s">
        <v>27</v>
      </c>
      <c r="E2" s="3" t="s">
        <v>28</v>
      </c>
      <c r="F2" s="3" t="s">
        <v>29</v>
      </c>
      <c r="G2" s="3" t="s">
        <v>30</v>
      </c>
      <c r="H2" s="3" t="s">
        <v>31</v>
      </c>
      <c r="I2" s="3" t="s">
        <v>32</v>
      </c>
      <c r="J2" s="3" t="s">
        <v>33</v>
      </c>
      <c r="K2" s="3" t="s">
        <v>34</v>
      </c>
      <c r="L2" s="3" t="s">
        <v>23</v>
      </c>
      <c r="M2" s="3" t="s">
        <v>35</v>
      </c>
      <c r="N2" s="3" t="s">
        <v>36</v>
      </c>
      <c r="Q2">
        <v>2022</v>
      </c>
      <c r="R2">
        <v>2023</v>
      </c>
      <c r="S2">
        <v>2024</v>
      </c>
    </row>
    <row r="3" spans="1:19" s="2" customFormat="1" x14ac:dyDescent="0.2">
      <c r="B3" s="2" t="s">
        <v>38</v>
      </c>
      <c r="C3" s="5"/>
      <c r="D3" s="5"/>
      <c r="E3" s="5"/>
      <c r="F3" s="5">
        <v>845.88</v>
      </c>
      <c r="G3" s="5">
        <v>963.74199999999996</v>
      </c>
      <c r="H3" s="5">
        <v>922.79</v>
      </c>
      <c r="I3" s="5"/>
      <c r="J3" s="5">
        <v>981.98699999999997</v>
      </c>
      <c r="K3" s="5">
        <v>913.38499999999999</v>
      </c>
      <c r="L3" s="5">
        <v>960.45699999999999</v>
      </c>
      <c r="M3" s="5"/>
      <c r="N3" s="5"/>
      <c r="Q3" s="2">
        <v>3340.1970000000001</v>
      </c>
      <c r="R3" s="2">
        <v>3834.259</v>
      </c>
    </row>
    <row r="4" spans="1:19" s="2" customFormat="1" x14ac:dyDescent="0.2">
      <c r="B4" s="2" t="s">
        <v>37</v>
      </c>
      <c r="C4" s="5"/>
      <c r="D4" s="5"/>
      <c r="E4" s="5"/>
      <c r="F4" s="5">
        <v>53.997</v>
      </c>
      <c r="G4" s="5">
        <v>57.948</v>
      </c>
      <c r="H4" s="5">
        <v>53.789000000000001</v>
      </c>
      <c r="I4" s="5"/>
      <c r="J4" s="5">
        <v>86.635999999999996</v>
      </c>
      <c r="K4" s="5">
        <v>95.718000000000004</v>
      </c>
      <c r="L4" s="5">
        <v>100.224</v>
      </c>
      <c r="M4" s="5"/>
      <c r="N4" s="5"/>
      <c r="Q4" s="2">
        <v>221.52099999999999</v>
      </c>
      <c r="R4" s="2">
        <v>255.62700000000001</v>
      </c>
    </row>
    <row r="5" spans="1:19" s="6" customFormat="1" x14ac:dyDescent="0.2">
      <c r="B5" s="6" t="s">
        <v>25</v>
      </c>
      <c r="C5" s="7"/>
      <c r="D5" s="7"/>
      <c r="E5" s="7"/>
      <c r="F5" s="7">
        <f t="shared" ref="F5:J5" si="0">+F3+F4</f>
        <v>899.87699999999995</v>
      </c>
      <c r="G5" s="7">
        <f t="shared" si="0"/>
        <v>1021.6899999999999</v>
      </c>
      <c r="H5" s="7">
        <f t="shared" si="0"/>
        <v>976.57899999999995</v>
      </c>
      <c r="I5" s="7">
        <f t="shared" si="0"/>
        <v>0</v>
      </c>
      <c r="J5" s="7">
        <f t="shared" si="0"/>
        <v>1068.623</v>
      </c>
      <c r="K5" s="7">
        <f>+K3+K4</f>
        <v>1009.103</v>
      </c>
      <c r="L5" s="7">
        <f>+L3+L4</f>
        <v>1060.681</v>
      </c>
      <c r="M5" s="7"/>
      <c r="N5" s="7"/>
      <c r="Q5" s="6">
        <f>+Q3+Q4</f>
        <v>3561.7180000000003</v>
      </c>
      <c r="R5" s="6">
        <f>+R3+R4</f>
        <v>4089.886</v>
      </c>
    </row>
    <row r="6" spans="1:19" s="2" customFormat="1" x14ac:dyDescent="0.2">
      <c r="B6" s="2" t="s">
        <v>42</v>
      </c>
      <c r="C6" s="5"/>
      <c r="D6" s="5"/>
      <c r="E6" s="5"/>
      <c r="F6" s="5">
        <f>69.702+23.813</f>
        <v>93.515000000000001</v>
      </c>
      <c r="G6" s="5">
        <f>75.395+49.802</f>
        <v>125.197</v>
      </c>
      <c r="H6" s="5">
        <f>74.218+22.64</f>
        <v>96.858000000000004</v>
      </c>
      <c r="I6" s="5"/>
      <c r="J6" s="5">
        <f>71.491+32.639</f>
        <v>104.13</v>
      </c>
      <c r="K6" s="5">
        <f>75.395+49.802</f>
        <v>125.197</v>
      </c>
      <c r="L6" s="5">
        <f>94.363+44.907</f>
        <v>139.26999999999998</v>
      </c>
      <c r="M6" s="5"/>
      <c r="N6" s="5"/>
      <c r="Q6" s="2">
        <f>273.565+98.058</f>
        <v>371.62299999999999</v>
      </c>
      <c r="R6" s="2">
        <f>331.76+103.281</f>
        <v>435.041</v>
      </c>
    </row>
    <row r="7" spans="1:19" s="2" customFormat="1" x14ac:dyDescent="0.2">
      <c r="B7" s="2" t="s">
        <v>41</v>
      </c>
      <c r="C7" s="5"/>
      <c r="D7" s="5"/>
      <c r="E7" s="5"/>
      <c r="F7" s="5">
        <f>+F5-F6</f>
        <v>806.36199999999997</v>
      </c>
      <c r="G7" s="5">
        <f>+G5-G6</f>
        <v>896.49299999999994</v>
      </c>
      <c r="H7" s="5">
        <f>+H5-H6</f>
        <v>879.721</v>
      </c>
      <c r="I7" s="5"/>
      <c r="J7" s="5">
        <f>+J5-J6</f>
        <v>964.49300000000005</v>
      </c>
      <c r="K7" s="5">
        <f>+K5-K6</f>
        <v>883.90599999999995</v>
      </c>
      <c r="L7" s="5">
        <f>+L5-L6</f>
        <v>921.41100000000006</v>
      </c>
      <c r="M7" s="5"/>
      <c r="N7" s="5"/>
      <c r="Q7" s="2">
        <f>+Q5-Q6</f>
        <v>3190.0950000000003</v>
      </c>
      <c r="R7" s="2">
        <f>+R5-R6</f>
        <v>3654.8449999999998</v>
      </c>
    </row>
    <row r="8" spans="1:19" s="2" customFormat="1" x14ac:dyDescent="0.2">
      <c r="B8" s="2" t="s">
        <v>43</v>
      </c>
      <c r="C8" s="5"/>
      <c r="D8" s="5"/>
      <c r="E8" s="5"/>
      <c r="F8" s="5">
        <v>171.81700000000001</v>
      </c>
      <c r="G8" s="5">
        <v>166.666</v>
      </c>
      <c r="H8" s="5">
        <v>167.07</v>
      </c>
      <c r="I8" s="5"/>
      <c r="J8" s="5">
        <v>180.36799999999999</v>
      </c>
      <c r="K8" s="5">
        <v>180.589</v>
      </c>
      <c r="L8" s="5">
        <v>186.72499999999999</v>
      </c>
      <c r="M8" s="5"/>
      <c r="N8" s="5"/>
      <c r="Q8" s="2">
        <v>604.22400000000005</v>
      </c>
      <c r="R8" s="2">
        <v>690.31899999999996</v>
      </c>
    </row>
    <row r="9" spans="1:19" s="2" customFormat="1" x14ac:dyDescent="0.2">
      <c r="B9" s="2" t="s">
        <v>44</v>
      </c>
      <c r="C9" s="5"/>
      <c r="D9" s="5"/>
      <c r="E9" s="5"/>
      <c r="F9" s="5">
        <v>350.423</v>
      </c>
      <c r="G9" s="5">
        <v>350.29500000000002</v>
      </c>
      <c r="H9" s="5">
        <v>354.416</v>
      </c>
      <c r="I9" s="5"/>
      <c r="J9" s="5">
        <v>367.44299999999998</v>
      </c>
      <c r="K9" s="5">
        <v>378.95800000000003</v>
      </c>
      <c r="L9" s="5">
        <v>370.74</v>
      </c>
      <c r="M9" s="5"/>
      <c r="N9" s="5"/>
      <c r="Q9" s="2">
        <v>1251.5440000000001</v>
      </c>
      <c r="R9" s="2">
        <v>1441.796</v>
      </c>
    </row>
    <row r="10" spans="1:19" s="2" customFormat="1" x14ac:dyDescent="0.2">
      <c r="B10" s="2" t="s">
        <v>45</v>
      </c>
      <c r="C10" s="5"/>
      <c r="D10" s="5"/>
      <c r="E10" s="5"/>
      <c r="F10" s="5">
        <v>68.064999999999998</v>
      </c>
      <c r="G10" s="5">
        <v>53.527000000000001</v>
      </c>
      <c r="H10" s="5">
        <v>54.604999999999997</v>
      </c>
      <c r="I10" s="5"/>
      <c r="J10" s="5">
        <v>75.742000000000004</v>
      </c>
      <c r="K10" s="5">
        <v>68.715999999999994</v>
      </c>
      <c r="L10" s="5">
        <v>63.436</v>
      </c>
      <c r="M10" s="5"/>
      <c r="N10" s="5"/>
      <c r="Q10" s="2">
        <v>242.11600000000001</v>
      </c>
      <c r="R10" s="2">
        <v>242.43</v>
      </c>
    </row>
    <row r="11" spans="1:19" s="2" customFormat="1" x14ac:dyDescent="0.2">
      <c r="B11" s="2" t="s">
        <v>40</v>
      </c>
      <c r="C11" s="5"/>
      <c r="D11" s="5"/>
      <c r="E11" s="5"/>
      <c r="F11" s="5">
        <f t="shared" ref="F11:J11" si="1">SUM(F8:F10)</f>
        <v>590.30500000000006</v>
      </c>
      <c r="G11" s="5">
        <f t="shared" si="1"/>
        <v>570.48800000000006</v>
      </c>
      <c r="H11" s="5">
        <f t="shared" si="1"/>
        <v>576.09100000000001</v>
      </c>
      <c r="I11" s="5">
        <f t="shared" si="1"/>
        <v>0</v>
      </c>
      <c r="J11" s="5">
        <f t="shared" si="1"/>
        <v>623.55299999999988</v>
      </c>
      <c r="K11" s="5">
        <f>SUM(K8:K10)</f>
        <v>628.26300000000003</v>
      </c>
      <c r="L11" s="5">
        <f>SUM(L8:L10)</f>
        <v>620.90100000000007</v>
      </c>
      <c r="M11" s="5"/>
      <c r="N11" s="5"/>
      <c r="Q11" s="2">
        <f>+Q10+Q9+Q8</f>
        <v>2097.884</v>
      </c>
      <c r="R11" s="2">
        <f>+R10+R9+R8</f>
        <v>2374.5450000000001</v>
      </c>
    </row>
    <row r="12" spans="1:19" s="2" customFormat="1" x14ac:dyDescent="0.2">
      <c r="B12" s="2" t="s">
        <v>39</v>
      </c>
      <c r="C12" s="5"/>
      <c r="D12" s="5"/>
      <c r="E12" s="5"/>
      <c r="F12" s="5">
        <f t="shared" ref="F12:J12" si="2">+F7-F11</f>
        <v>216.0569999999999</v>
      </c>
      <c r="G12" s="5">
        <f t="shared" si="2"/>
        <v>326.00499999999988</v>
      </c>
      <c r="H12" s="5">
        <f t="shared" si="2"/>
        <v>303.63</v>
      </c>
      <c r="I12" s="5">
        <f t="shared" si="2"/>
        <v>0</v>
      </c>
      <c r="J12" s="5">
        <f t="shared" si="2"/>
        <v>340.94000000000017</v>
      </c>
      <c r="K12" s="5">
        <f>+K7-K11</f>
        <v>255.64299999999992</v>
      </c>
      <c r="L12" s="5">
        <f>+L7-L11</f>
        <v>300.51</v>
      </c>
      <c r="M12" s="5"/>
      <c r="N12" s="5"/>
      <c r="Q12" s="2">
        <f>+Q7-Q11</f>
        <v>1092.2110000000002</v>
      </c>
      <c r="R12" s="2">
        <f>+R7-R11</f>
        <v>1280.2999999999997</v>
      </c>
    </row>
    <row r="13" spans="1:19" s="2" customFormat="1" x14ac:dyDescent="0.2">
      <c r="B13" s="2" t="s">
        <v>50</v>
      </c>
      <c r="C13" s="5"/>
      <c r="D13" s="5"/>
      <c r="E13" s="5"/>
      <c r="F13" s="5">
        <f>-9.082+8.49</f>
        <v>-0.59200000000000053</v>
      </c>
      <c r="G13" s="5">
        <f>-9.26+8.284</f>
        <v>-0.97599999999999909</v>
      </c>
      <c r="H13" s="5">
        <f>-8.877+7.973</f>
        <v>-0.9040000000000008</v>
      </c>
      <c r="I13" s="5"/>
      <c r="J13" s="5">
        <v>-8.9890000000000008</v>
      </c>
      <c r="K13" s="5">
        <f>-8.692+68.779</f>
        <v>60.086999999999996</v>
      </c>
      <c r="L13" s="5">
        <f>-12.905+34.739</f>
        <v>21.833999999999996</v>
      </c>
      <c r="M13" s="5"/>
      <c r="N13" s="5"/>
      <c r="Q13" s="2">
        <f>-22.934-5.389</f>
        <v>-28.323</v>
      </c>
      <c r="R13" s="2">
        <f>-22.934-5.389</f>
        <v>-28.323</v>
      </c>
    </row>
    <row r="14" spans="1:19" s="2" customFormat="1" x14ac:dyDescent="0.2">
      <c r="B14" s="2" t="s">
        <v>49</v>
      </c>
      <c r="C14" s="5"/>
      <c r="D14" s="5"/>
      <c r="E14" s="5"/>
      <c r="F14" s="5">
        <f>+F12+F13</f>
        <v>215.46499999999989</v>
      </c>
      <c r="G14" s="5">
        <f>+G12+G13</f>
        <v>325.02899999999988</v>
      </c>
      <c r="H14" s="5">
        <f>+H12+H13</f>
        <v>302.726</v>
      </c>
      <c r="I14" s="5"/>
      <c r="J14" s="5">
        <f>+J12+J13</f>
        <v>331.95100000000019</v>
      </c>
      <c r="K14" s="5">
        <f>+K12+K13</f>
        <v>315.7299999999999</v>
      </c>
      <c r="L14" s="5">
        <f>+L12+L13</f>
        <v>322.34399999999999</v>
      </c>
      <c r="M14" s="5"/>
      <c r="N14" s="5"/>
      <c r="Q14" s="2">
        <f>+Q12+Q13</f>
        <v>1063.8880000000001</v>
      </c>
      <c r="R14" s="2">
        <f>+R12+R13</f>
        <v>1251.9769999999996</v>
      </c>
    </row>
    <row r="15" spans="1:19" s="2" customFormat="1" x14ac:dyDescent="0.2">
      <c r="B15" s="2" t="s">
        <v>48</v>
      </c>
      <c r="C15" s="5"/>
      <c r="D15" s="5"/>
      <c r="E15" s="5"/>
      <c r="F15" s="5">
        <v>0</v>
      </c>
      <c r="G15" s="5">
        <v>79.683000000000007</v>
      </c>
      <c r="H15" s="5">
        <v>77.304000000000002</v>
      </c>
      <c r="I15" s="5"/>
      <c r="J15" s="5">
        <v>38.162999999999997</v>
      </c>
      <c r="K15" s="5">
        <v>62.4</v>
      </c>
      <c r="L15" s="5">
        <v>86.19</v>
      </c>
      <c r="M15" s="5"/>
      <c r="N15" s="5"/>
      <c r="Q15" s="2">
        <v>196.411</v>
      </c>
      <c r="R15" s="2">
        <v>196.411</v>
      </c>
    </row>
    <row r="16" spans="1:19" s="2" customFormat="1" x14ac:dyDescent="0.2">
      <c r="B16" s="2" t="s">
        <v>47</v>
      </c>
      <c r="C16" s="5"/>
      <c r="D16" s="5"/>
      <c r="E16" s="5"/>
      <c r="F16" s="5">
        <f>+F14-F15</f>
        <v>215.46499999999989</v>
      </c>
      <c r="G16" s="5">
        <f>+G14-G15</f>
        <v>245.34599999999989</v>
      </c>
      <c r="H16" s="5">
        <f>+H14-H15</f>
        <v>225.422</v>
      </c>
      <c r="I16" s="5"/>
      <c r="J16" s="5">
        <f>+J14-J15</f>
        <v>293.78800000000018</v>
      </c>
      <c r="K16" s="5">
        <f>+K14-K15</f>
        <v>253.3299999999999</v>
      </c>
      <c r="L16" s="5">
        <f>+L14-L15</f>
        <v>236.154</v>
      </c>
      <c r="M16" s="5"/>
      <c r="N16" s="5"/>
      <c r="Q16" s="2">
        <f>+Q14-Q15</f>
        <v>867.47700000000009</v>
      </c>
      <c r="R16" s="2">
        <f>+R14-R15</f>
        <v>1055.5659999999996</v>
      </c>
    </row>
    <row r="17" spans="2:18" x14ac:dyDescent="0.2">
      <c r="B17" t="s">
        <v>46</v>
      </c>
      <c r="F17" s="8">
        <f>+F16/F18</f>
        <v>0.78925775741125315</v>
      </c>
      <c r="G17" s="8">
        <f>+G16/G18</f>
        <v>0.89871646471010536</v>
      </c>
      <c r="H17" s="8">
        <f>+H16/H18</f>
        <v>0.82573371038403498</v>
      </c>
      <c r="J17" s="8">
        <f>+J16/J18</f>
        <v>1.0784416652289313</v>
      </c>
      <c r="K17" s="8">
        <f>+K16/K18</f>
        <v>0.92610329599625618</v>
      </c>
      <c r="L17" s="8">
        <f>+L16/L18</f>
        <v>0.86338841766598429</v>
      </c>
      <c r="Q17" s="1">
        <f>+Q16/Q18</f>
        <v>3.1543356447560278</v>
      </c>
      <c r="R17" s="1">
        <f>+R16/R18</f>
        <v>3.8382682874503185</v>
      </c>
    </row>
    <row r="18" spans="2:18" s="2" customFormat="1" x14ac:dyDescent="0.2">
      <c r="B18" s="2" t="s">
        <v>1</v>
      </c>
      <c r="C18" s="5"/>
      <c r="D18" s="5"/>
      <c r="E18" s="5"/>
      <c r="F18" s="5">
        <v>272.99700000000001</v>
      </c>
      <c r="G18" s="5">
        <v>272.99599999999998</v>
      </c>
      <c r="H18" s="5">
        <v>272.99599999999998</v>
      </c>
      <c r="I18" s="5"/>
      <c r="J18" s="5">
        <v>272.41899999999998</v>
      </c>
      <c r="K18" s="5">
        <v>273.54399999999998</v>
      </c>
      <c r="L18" s="5">
        <v>273.52</v>
      </c>
      <c r="M18" s="5"/>
      <c r="N18" s="5"/>
      <c r="Q18" s="2">
        <v>275.01100000000002</v>
      </c>
      <c r="R18" s="2">
        <v>275.01100000000002</v>
      </c>
    </row>
    <row r="19" spans="2:18" s="2" customFormat="1" x14ac:dyDescent="0.2"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</row>
    <row r="20" spans="2:18" s="2" customFormat="1" x14ac:dyDescent="0.2">
      <c r="B20" s="2" t="s">
        <v>77</v>
      </c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R20" s="10">
        <f>+R5/Q5-1</f>
        <v>0.14829023521794804</v>
      </c>
    </row>
    <row r="21" spans="2:18" x14ac:dyDescent="0.2">
      <c r="R21" s="10"/>
    </row>
    <row r="23" spans="2:18" s="2" customFormat="1" x14ac:dyDescent="0.2">
      <c r="B23" s="2" t="s">
        <v>3</v>
      </c>
      <c r="C23" s="5"/>
      <c r="D23" s="5"/>
      <c r="E23" s="5"/>
      <c r="F23" s="5"/>
      <c r="G23" s="5"/>
      <c r="H23" s="5"/>
      <c r="I23" s="5"/>
      <c r="J23" s="5"/>
      <c r="K23" s="5">
        <v>1012.418</v>
      </c>
      <c r="L23" s="5">
        <v>1058.9549999999999</v>
      </c>
      <c r="M23" s="5"/>
      <c r="N23" s="5"/>
    </row>
    <row r="24" spans="2:18" s="2" customFormat="1" x14ac:dyDescent="0.2">
      <c r="B24" s="2" t="s">
        <v>51</v>
      </c>
      <c r="C24" s="5"/>
      <c r="D24" s="5"/>
      <c r="E24" s="5"/>
      <c r="F24" s="5"/>
      <c r="G24" s="5"/>
      <c r="H24" s="5"/>
      <c r="I24" s="5"/>
      <c r="J24" s="5"/>
      <c r="K24" s="5">
        <v>389.86500000000001</v>
      </c>
      <c r="L24" s="5">
        <v>564.851</v>
      </c>
      <c r="M24" s="5"/>
      <c r="N24" s="5"/>
    </row>
    <row r="25" spans="2:18" s="2" customFormat="1" x14ac:dyDescent="0.2">
      <c r="B25" s="2" t="s">
        <v>52</v>
      </c>
      <c r="C25" s="5"/>
      <c r="D25" s="5"/>
      <c r="E25" s="5"/>
      <c r="F25" s="5"/>
      <c r="G25" s="5"/>
      <c r="H25" s="5"/>
      <c r="I25" s="5"/>
      <c r="J25" s="5"/>
      <c r="K25" s="5">
        <v>185.78399999999999</v>
      </c>
      <c r="L25" s="5">
        <v>171.50800000000001</v>
      </c>
      <c r="M25" s="5"/>
      <c r="N25" s="5"/>
    </row>
    <row r="26" spans="2:18" s="2" customFormat="1" x14ac:dyDescent="0.2">
      <c r="B26" s="2" t="s">
        <v>53</v>
      </c>
      <c r="C26" s="5"/>
      <c r="D26" s="5"/>
      <c r="E26" s="5"/>
      <c r="F26" s="5"/>
      <c r="G26" s="5"/>
      <c r="H26" s="5"/>
      <c r="I26" s="5"/>
      <c r="J26" s="5"/>
      <c r="K26" s="5">
        <v>341.86500000000001</v>
      </c>
      <c r="L26" s="5">
        <v>401.07400000000001</v>
      </c>
      <c r="M26" s="5"/>
      <c r="N26" s="5"/>
    </row>
    <row r="27" spans="2:18" s="2" customFormat="1" x14ac:dyDescent="0.2">
      <c r="B27" s="2" t="s">
        <v>56</v>
      </c>
      <c r="C27" s="5"/>
      <c r="D27" s="5"/>
      <c r="E27" s="5"/>
      <c r="F27" s="5"/>
      <c r="G27" s="5"/>
      <c r="H27" s="5"/>
      <c r="I27" s="5"/>
      <c r="J27" s="5"/>
      <c r="K27" s="5">
        <v>433.01600000000002</v>
      </c>
      <c r="L27" s="5">
        <v>449.42200000000003</v>
      </c>
      <c r="M27" s="5"/>
      <c r="N27" s="5"/>
    </row>
    <row r="28" spans="2:18" s="2" customFormat="1" x14ac:dyDescent="0.2">
      <c r="B28" s="2" t="s">
        <v>54</v>
      </c>
      <c r="C28" s="5"/>
      <c r="D28" s="5"/>
      <c r="E28" s="5"/>
      <c r="F28" s="5"/>
      <c r="G28" s="5"/>
      <c r="H28" s="5"/>
      <c r="I28" s="5"/>
      <c r="J28" s="5"/>
      <c r="K28" s="5">
        <f>1575.107+334.644</f>
        <v>1909.751</v>
      </c>
      <c r="L28" s="5">
        <f>2417.747+664.038</f>
        <v>3081.7849999999999</v>
      </c>
      <c r="M28" s="5"/>
      <c r="N28" s="5"/>
    </row>
    <row r="29" spans="2:18" x14ac:dyDescent="0.2">
      <c r="B29" s="2" t="s">
        <v>55</v>
      </c>
      <c r="K29" s="5">
        <v>886.57600000000002</v>
      </c>
      <c r="L29" s="5">
        <v>892.96299999999997</v>
      </c>
    </row>
    <row r="30" spans="2:18" x14ac:dyDescent="0.2">
      <c r="B30" s="2" t="s">
        <v>58</v>
      </c>
      <c r="K30" s="5">
        <v>562.85500000000002</v>
      </c>
      <c r="L30" s="5">
        <v>605.18299999999999</v>
      </c>
    </row>
    <row r="31" spans="2:18" x14ac:dyDescent="0.2">
      <c r="B31" s="2" t="s">
        <v>57</v>
      </c>
      <c r="K31" s="5">
        <f>SUM(K23:K30)</f>
        <v>5722.1299999999992</v>
      </c>
      <c r="L31" s="5">
        <f>SUM(L23:L30)</f>
        <v>7225.7409999999991</v>
      </c>
    </row>
    <row r="33" spans="2:14" s="2" customFormat="1" x14ac:dyDescent="0.2">
      <c r="B33" s="2" t="s">
        <v>4</v>
      </c>
      <c r="C33" s="5"/>
      <c r="D33" s="5"/>
      <c r="E33" s="5"/>
      <c r="F33" s="5"/>
      <c r="G33" s="5"/>
      <c r="H33" s="5"/>
      <c r="I33" s="5"/>
      <c r="J33" s="5"/>
      <c r="K33" s="5">
        <f>349.507+299.805</f>
        <v>649.31200000000001</v>
      </c>
      <c r="L33" s="5">
        <f>349.732+998.935</f>
        <v>1348.6669999999999</v>
      </c>
      <c r="M33" s="5"/>
      <c r="N33" s="5"/>
    </row>
    <row r="34" spans="2:14" s="2" customFormat="1" x14ac:dyDescent="0.2">
      <c r="B34" s="2" t="s">
        <v>61</v>
      </c>
      <c r="C34" s="5"/>
      <c r="D34" s="5"/>
      <c r="E34" s="5"/>
      <c r="F34" s="5"/>
      <c r="G34" s="5"/>
      <c r="H34" s="5"/>
      <c r="I34" s="5"/>
      <c r="J34" s="5"/>
      <c r="K34" s="5">
        <v>456.608</v>
      </c>
      <c r="L34" s="5">
        <v>505.392</v>
      </c>
      <c r="M34" s="5"/>
      <c r="N34" s="5"/>
    </row>
    <row r="35" spans="2:14" s="2" customFormat="1" x14ac:dyDescent="0.2">
      <c r="B35" s="2" t="s">
        <v>62</v>
      </c>
      <c r="C35" s="5"/>
      <c r="D35" s="5"/>
      <c r="E35" s="5"/>
      <c r="F35" s="5"/>
      <c r="G35" s="5"/>
      <c r="H35" s="5"/>
      <c r="I35" s="5"/>
      <c r="J35" s="5"/>
      <c r="K35" s="5">
        <f>659.628+87.003</f>
        <v>746.63100000000009</v>
      </c>
      <c r="L35" s="5">
        <f>678.598+88.823</f>
        <v>767.42099999999994</v>
      </c>
      <c r="M35" s="5"/>
      <c r="N35" s="5"/>
    </row>
    <row r="36" spans="2:14" s="2" customFormat="1" x14ac:dyDescent="0.2">
      <c r="B36" s="2" t="s">
        <v>63</v>
      </c>
      <c r="C36" s="5"/>
      <c r="D36" s="5"/>
      <c r="E36" s="5"/>
      <c r="F36" s="5"/>
      <c r="G36" s="5"/>
      <c r="H36" s="5"/>
      <c r="I36" s="5"/>
      <c r="J36" s="5"/>
      <c r="K36" s="5">
        <v>301.983</v>
      </c>
      <c r="L36" s="5">
        <v>343.36900000000003</v>
      </c>
      <c r="M36" s="5"/>
      <c r="N36" s="5"/>
    </row>
    <row r="37" spans="2:14" s="2" customFormat="1" x14ac:dyDescent="0.2">
      <c r="B37" s="2" t="s">
        <v>60</v>
      </c>
      <c r="C37" s="5"/>
      <c r="D37" s="5"/>
      <c r="E37" s="5"/>
      <c r="F37" s="5"/>
      <c r="G37" s="5"/>
      <c r="H37" s="5"/>
      <c r="I37" s="5"/>
      <c r="J37" s="5"/>
      <c r="K37" s="5">
        <v>3567.596</v>
      </c>
      <c r="L37" s="5">
        <v>4260.8919999999998</v>
      </c>
      <c r="M37" s="5"/>
      <c r="N37" s="5"/>
    </row>
    <row r="38" spans="2:14" s="2" customFormat="1" x14ac:dyDescent="0.2">
      <c r="B38" s="2" t="s">
        <v>59</v>
      </c>
      <c r="C38" s="5"/>
      <c r="D38" s="5"/>
      <c r="E38" s="5"/>
      <c r="F38" s="5"/>
      <c r="G38" s="5"/>
      <c r="H38" s="5"/>
      <c r="I38" s="5"/>
      <c r="J38" s="5"/>
      <c r="K38" s="5">
        <f>SUM(K33:K37)</f>
        <v>5722.13</v>
      </c>
      <c r="L38" s="5">
        <f>SUM(L33:L37)</f>
        <v>7225.741</v>
      </c>
      <c r="M38" s="5"/>
      <c r="N38" s="5"/>
    </row>
    <row r="40" spans="2:14" x14ac:dyDescent="0.2">
      <c r="B40" s="2" t="s">
        <v>68</v>
      </c>
      <c r="K40" s="5">
        <f>+K16</f>
        <v>253.3299999999999</v>
      </c>
    </row>
    <row r="41" spans="2:14" x14ac:dyDescent="0.2">
      <c r="B41" s="2" t="s">
        <v>69</v>
      </c>
      <c r="K41" s="5">
        <v>247.643</v>
      </c>
    </row>
    <row r="42" spans="2:14" x14ac:dyDescent="0.2">
      <c r="B42" s="2" t="s">
        <v>71</v>
      </c>
      <c r="K42" s="5">
        <v>39.555999999999997</v>
      </c>
    </row>
    <row r="43" spans="2:14" x14ac:dyDescent="0.2">
      <c r="B43" s="2" t="s">
        <v>72</v>
      </c>
      <c r="K43" s="5">
        <v>0.32</v>
      </c>
    </row>
    <row r="44" spans="2:14" x14ac:dyDescent="0.2">
      <c r="B44" s="2" t="s">
        <v>73</v>
      </c>
      <c r="K44" s="5">
        <v>88.129000000000005</v>
      </c>
    </row>
    <row r="45" spans="2:14" x14ac:dyDescent="0.2">
      <c r="B45" s="2" t="s">
        <v>74</v>
      </c>
      <c r="K45" s="5">
        <v>-55.393999999999998</v>
      </c>
    </row>
    <row r="46" spans="2:14" x14ac:dyDescent="0.2">
      <c r="B46" s="2" t="s">
        <v>55</v>
      </c>
      <c r="K46" s="5">
        <v>-1.5229999999999999</v>
      </c>
    </row>
    <row r="47" spans="2:14" x14ac:dyDescent="0.2">
      <c r="B47" s="2" t="s">
        <v>75</v>
      </c>
      <c r="K47" s="5">
        <v>0.158</v>
      </c>
    </row>
    <row r="48" spans="2:14" x14ac:dyDescent="0.2">
      <c r="K48" s="5">
        <v>-0.91700000000000004</v>
      </c>
    </row>
    <row r="49" spans="2:18" x14ac:dyDescent="0.2">
      <c r="K49" s="5">
        <v>7.8E-2</v>
      </c>
    </row>
    <row r="50" spans="2:18" x14ac:dyDescent="0.2">
      <c r="B50" s="2" t="s">
        <v>76</v>
      </c>
      <c r="K50" s="5">
        <f>102.991-10.689-15.073-7.535-117.291-23.941+6.72</f>
        <v>-64.818000000000012</v>
      </c>
    </row>
    <row r="51" spans="2:18" x14ac:dyDescent="0.2">
      <c r="B51" t="s">
        <v>70</v>
      </c>
      <c r="K51" s="5">
        <f>SUM(K41:K50)</f>
        <v>253.232</v>
      </c>
      <c r="Q51">
        <v>1241.894</v>
      </c>
      <c r="R51">
        <v>1349.1759999999999</v>
      </c>
    </row>
    <row r="54" spans="2:18" x14ac:dyDescent="0.2">
      <c r="B54" t="s">
        <v>64</v>
      </c>
      <c r="L54" s="9">
        <v>0.21</v>
      </c>
    </row>
    <row r="55" spans="2:18" x14ac:dyDescent="0.2">
      <c r="B55" t="s">
        <v>65</v>
      </c>
      <c r="L55" s="9">
        <v>0.27</v>
      </c>
    </row>
    <row r="56" spans="2:18" x14ac:dyDescent="0.2">
      <c r="B56" t="s">
        <v>66</v>
      </c>
      <c r="L56" s="9">
        <v>0.25</v>
      </c>
    </row>
    <row r="57" spans="2:18" x14ac:dyDescent="0.2">
      <c r="B57" t="s">
        <v>8</v>
      </c>
      <c r="L57" s="9">
        <v>0.13</v>
      </c>
    </row>
    <row r="58" spans="2:18" x14ac:dyDescent="0.2">
      <c r="B58" t="s">
        <v>67</v>
      </c>
      <c r="L58" s="9">
        <v>0.14000000000000001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Nichols Ringholm</dc:creator>
  <cp:lastModifiedBy>Sam Nichols Ringholm</cp:lastModifiedBy>
  <dcterms:created xsi:type="dcterms:W3CDTF">2022-08-08T01:02:13Z</dcterms:created>
  <dcterms:modified xsi:type="dcterms:W3CDTF">2025-10-08T13:29:44Z</dcterms:modified>
</cp:coreProperties>
</file>