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C79304B-7113-44B5-AA97-19F8800F46B1}" xr6:coauthVersionLast="47" xr6:coauthVersionMax="47" xr10:uidLastSave="{00000000-0000-0000-0000-000000000000}"/>
  <bookViews>
    <workbookView xWindow="2640" yWindow="2640" windowWidth="18075" windowHeight="16020" activeTab="1" xr2:uid="{D8995F61-9A8C-4B33-92DD-09DD5DAE1AB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2" l="1"/>
  <c r="Z6" i="2"/>
  <c r="Y6" i="2"/>
  <c r="Y13" i="2"/>
  <c r="Z13" i="2" s="1"/>
  <c r="AA13" i="2" s="1"/>
  <c r="AB13" i="2" s="1"/>
  <c r="AC13" i="2" s="1"/>
  <c r="AD13" i="2" s="1"/>
  <c r="Z11" i="2"/>
  <c r="AA11" i="2" s="1"/>
  <c r="AB11" i="2" s="1"/>
  <c r="AC11" i="2" s="1"/>
  <c r="AD11" i="2" s="1"/>
  <c r="Y11" i="2"/>
  <c r="X10" i="2"/>
  <c r="X9" i="2"/>
  <c r="Y25" i="2"/>
  <c r="Y12" i="2"/>
  <c r="Z16" i="2"/>
  <c r="AA16" i="2" s="1"/>
  <c r="Y16" i="2"/>
  <c r="AA21" i="2"/>
  <c r="AB21" i="2" s="1"/>
  <c r="Z21" i="2"/>
  <c r="Y21" i="2"/>
  <c r="Y8" i="2"/>
  <c r="Y7" i="2"/>
  <c r="Z7" i="2" s="1"/>
  <c r="AA7" i="2" s="1"/>
  <c r="AB7" i="2" s="1"/>
  <c r="AC7" i="2" s="1"/>
  <c r="AD7" i="2" s="1"/>
  <c r="AB6" i="2"/>
  <c r="AC6" i="2" s="1"/>
  <c r="AD6" i="2" s="1"/>
  <c r="AD8" i="2" s="1"/>
  <c r="X25" i="2"/>
  <c r="X26" i="2"/>
  <c r="X21" i="2"/>
  <c r="X18" i="2"/>
  <c r="X16" i="2"/>
  <c r="X14" i="2"/>
  <c r="X13" i="2"/>
  <c r="X12" i="2"/>
  <c r="X11" i="2"/>
  <c r="X15" i="2"/>
  <c r="X17" i="2" s="1"/>
  <c r="X8" i="2"/>
  <c r="X7" i="2"/>
  <c r="X6" i="2"/>
  <c r="O16" i="2"/>
  <c r="P16" i="2" s="1"/>
  <c r="Q16" i="2" s="1"/>
  <c r="R16" i="2" s="1"/>
  <c r="N16" i="2"/>
  <c r="R13" i="2"/>
  <c r="Q13" i="2"/>
  <c r="P13" i="2"/>
  <c r="O13" i="2"/>
  <c r="Q12" i="2"/>
  <c r="P12" i="2"/>
  <c r="O12" i="2"/>
  <c r="N12" i="2"/>
  <c r="R12" i="2" s="1"/>
  <c r="Q11" i="2"/>
  <c r="Q14" i="2" s="1"/>
  <c r="Q15" i="2" s="1"/>
  <c r="P11" i="2"/>
  <c r="P14" i="2" s="1"/>
  <c r="P15" i="2" s="1"/>
  <c r="O11" i="2"/>
  <c r="O14" i="2" s="1"/>
  <c r="O15" i="2" s="1"/>
  <c r="O17" i="2" s="1"/>
  <c r="O18" i="2" s="1"/>
  <c r="O19" i="2" s="1"/>
  <c r="O20" i="2" s="1"/>
  <c r="N11" i="2"/>
  <c r="R11" i="2" s="1"/>
  <c r="R14" i="2" s="1"/>
  <c r="R15" i="2" s="1"/>
  <c r="N13" i="2"/>
  <c r="N14" i="2" s="1"/>
  <c r="N15" i="2" s="1"/>
  <c r="N17" i="2" s="1"/>
  <c r="O21" i="2"/>
  <c r="P21" i="2" s="1"/>
  <c r="N21" i="2"/>
  <c r="R9" i="2"/>
  <c r="Q9" i="2"/>
  <c r="P9" i="2"/>
  <c r="O9" i="2"/>
  <c r="O10" i="2" s="1"/>
  <c r="N9" i="2"/>
  <c r="P10" i="2"/>
  <c r="Q10" i="2"/>
  <c r="R10" i="2"/>
  <c r="N10" i="2"/>
  <c r="R6" i="2"/>
  <c r="Q6" i="2"/>
  <c r="P6" i="2"/>
  <c r="O6" i="2"/>
  <c r="N6" i="2"/>
  <c r="P7" i="2"/>
  <c r="Q7" i="2" s="1"/>
  <c r="R7" i="2" s="1"/>
  <c r="O7" i="2"/>
  <c r="N7" i="2"/>
  <c r="N8" i="2" s="1"/>
  <c r="I25" i="2"/>
  <c r="H25" i="2"/>
  <c r="G25" i="2"/>
  <c r="F20" i="2"/>
  <c r="F21" i="2"/>
  <c r="F18" i="2"/>
  <c r="F16" i="2"/>
  <c r="F13" i="2"/>
  <c r="F12" i="2"/>
  <c r="F14" i="2" s="1"/>
  <c r="F15" i="2" s="1"/>
  <c r="F11" i="2"/>
  <c r="F10" i="2"/>
  <c r="F9" i="2"/>
  <c r="F7" i="2"/>
  <c r="F6" i="2"/>
  <c r="C26" i="2"/>
  <c r="C14" i="2"/>
  <c r="C8" i="2"/>
  <c r="C10" i="2" s="1"/>
  <c r="D26" i="2"/>
  <c r="D14" i="2"/>
  <c r="D8" i="2"/>
  <c r="D10" i="2" s="1"/>
  <c r="E20" i="2"/>
  <c r="E26" i="2"/>
  <c r="E17" i="2"/>
  <c r="E19" i="2" s="1"/>
  <c r="E14" i="2"/>
  <c r="E15" i="2" s="1"/>
  <c r="E10" i="2"/>
  <c r="J26" i="2"/>
  <c r="I26" i="2"/>
  <c r="M26" i="2"/>
  <c r="J17" i="2"/>
  <c r="J19" i="2" s="1"/>
  <c r="J20" i="2" s="1"/>
  <c r="J21" i="2"/>
  <c r="J18" i="2"/>
  <c r="J16" i="2"/>
  <c r="J10" i="2"/>
  <c r="J13" i="2"/>
  <c r="J12" i="2"/>
  <c r="J11" i="2"/>
  <c r="J14" i="2" s="1"/>
  <c r="J15" i="2" s="1"/>
  <c r="J9" i="2"/>
  <c r="J7" i="2"/>
  <c r="J6" i="2"/>
  <c r="E8" i="2"/>
  <c r="M14" i="2"/>
  <c r="I8" i="2"/>
  <c r="I10" i="2" s="1"/>
  <c r="M8" i="2"/>
  <c r="M25" i="2" s="1"/>
  <c r="W32" i="2"/>
  <c r="V32" i="2"/>
  <c r="U32" i="2"/>
  <c r="W14" i="2"/>
  <c r="W8" i="2"/>
  <c r="W10" i="2" s="1"/>
  <c r="W26" i="2" s="1"/>
  <c r="V14" i="2"/>
  <c r="V8" i="2"/>
  <c r="V10" i="2" s="1"/>
  <c r="V26" i="2" s="1"/>
  <c r="U14" i="2"/>
  <c r="U8" i="2"/>
  <c r="U10" i="2" s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G14" i="2"/>
  <c r="G8" i="2"/>
  <c r="G10" i="2" s="1"/>
  <c r="G26" i="2" s="1"/>
  <c r="K14" i="2"/>
  <c r="K8" i="2"/>
  <c r="K10" i="2" s="1"/>
  <c r="K26" i="2" s="1"/>
  <c r="L30" i="2"/>
  <c r="H30" i="2"/>
  <c r="I14" i="2"/>
  <c r="H14" i="2"/>
  <c r="L14" i="2"/>
  <c r="H8" i="2"/>
  <c r="H10" i="2" s="1"/>
  <c r="H26" i="2" s="1"/>
  <c r="L8" i="2"/>
  <c r="J5" i="1"/>
  <c r="AD10" i="2" l="1"/>
  <c r="AD26" i="2" s="1"/>
  <c r="Y10" i="2"/>
  <c r="Y26" i="2" s="1"/>
  <c r="AA8" i="2"/>
  <c r="AB8" i="2"/>
  <c r="AC8" i="2"/>
  <c r="Z8" i="2"/>
  <c r="Y14" i="2"/>
  <c r="Y15" i="2" s="1"/>
  <c r="Y17" i="2" s="1"/>
  <c r="Y18" i="2" s="1"/>
  <c r="Y19" i="2" s="1"/>
  <c r="Y20" i="2" s="1"/>
  <c r="Z12" i="2"/>
  <c r="AA12" i="2" s="1"/>
  <c r="AB12" i="2" s="1"/>
  <c r="AC12" i="2" s="1"/>
  <c r="AD12" i="2" s="1"/>
  <c r="AB16" i="2"/>
  <c r="AC21" i="2"/>
  <c r="X19" i="2"/>
  <c r="X20" i="2" s="1"/>
  <c r="R17" i="2"/>
  <c r="Q17" i="2"/>
  <c r="P17" i="2"/>
  <c r="Q18" i="2"/>
  <c r="Q19" i="2"/>
  <c r="R18" i="2"/>
  <c r="R19" i="2" s="1"/>
  <c r="P18" i="2"/>
  <c r="P19" i="2"/>
  <c r="N18" i="2"/>
  <c r="N19" i="2"/>
  <c r="N20" i="2" s="1"/>
  <c r="Q21" i="2"/>
  <c r="P20" i="2"/>
  <c r="N26" i="2"/>
  <c r="P8" i="2"/>
  <c r="R8" i="2"/>
  <c r="O8" i="2"/>
  <c r="O26" i="2" s="1"/>
  <c r="Q8" i="2"/>
  <c r="N25" i="2"/>
  <c r="F17" i="2"/>
  <c r="F19" i="2" s="1"/>
  <c r="F8" i="2"/>
  <c r="J25" i="2"/>
  <c r="F26" i="2"/>
  <c r="C15" i="2"/>
  <c r="C17" i="2" s="1"/>
  <c r="C19" i="2" s="1"/>
  <c r="C20" i="2" s="1"/>
  <c r="D15" i="2"/>
  <c r="D17" i="2" s="1"/>
  <c r="D19" i="2" s="1"/>
  <c r="D20" i="2" s="1"/>
  <c r="J8" i="2"/>
  <c r="L25" i="2"/>
  <c r="U15" i="2"/>
  <c r="U17" i="2" s="1"/>
  <c r="U19" i="2" s="1"/>
  <c r="U20" i="2" s="1"/>
  <c r="U26" i="2"/>
  <c r="K25" i="2"/>
  <c r="V25" i="2"/>
  <c r="L10" i="2"/>
  <c r="H15" i="2"/>
  <c r="H17" i="2" s="1"/>
  <c r="H19" i="2" s="1"/>
  <c r="H20" i="2" s="1"/>
  <c r="M10" i="2"/>
  <c r="M15" i="2" s="1"/>
  <c r="M17" i="2" s="1"/>
  <c r="M19" i="2" s="1"/>
  <c r="M20" i="2" s="1"/>
  <c r="W25" i="2"/>
  <c r="I15" i="2"/>
  <c r="I17" i="2" s="1"/>
  <c r="I19" i="2" s="1"/>
  <c r="I20" i="2" s="1"/>
  <c r="W15" i="2"/>
  <c r="W17" i="2" s="1"/>
  <c r="W19" i="2" s="1"/>
  <c r="W20" i="2" s="1"/>
  <c r="V15" i="2"/>
  <c r="V17" i="2" s="1"/>
  <c r="V19" i="2" s="1"/>
  <c r="V20" i="2" s="1"/>
  <c r="G15" i="2"/>
  <c r="G17" i="2" s="1"/>
  <c r="G19" i="2" s="1"/>
  <c r="G20" i="2" s="1"/>
  <c r="K15" i="2"/>
  <c r="K17" i="2" s="1"/>
  <c r="K19" i="2" s="1"/>
  <c r="K20" i="2" s="1"/>
  <c r="J4" i="1"/>
  <c r="J7" i="1" s="1"/>
  <c r="J3" i="1"/>
  <c r="Z10" i="2" l="1"/>
  <c r="Z25" i="2"/>
  <c r="AB10" i="2"/>
  <c r="AB26" i="2" s="1"/>
  <c r="AB25" i="2"/>
  <c r="AB9" i="2"/>
  <c r="AA10" i="2"/>
  <c r="AA26" i="2" s="1"/>
  <c r="AA25" i="2"/>
  <c r="AC25" i="2"/>
  <c r="AC9" i="2"/>
  <c r="AC10" i="2"/>
  <c r="AC26" i="2" s="1"/>
  <c r="Y9" i="2"/>
  <c r="AD25" i="2"/>
  <c r="AD9" i="2"/>
  <c r="Z14" i="2"/>
  <c r="Z15" i="2" s="1"/>
  <c r="Z17" i="2" s="1"/>
  <c r="AA14" i="2"/>
  <c r="AA15" i="2" s="1"/>
  <c r="AA17" i="2" s="1"/>
  <c r="AA18" i="2"/>
  <c r="AA19" i="2" s="1"/>
  <c r="AA20" i="2" s="1"/>
  <c r="AC16" i="2"/>
  <c r="AD21" i="2"/>
  <c r="R21" i="2"/>
  <c r="R20" i="2" s="1"/>
  <c r="Q20" i="2"/>
  <c r="R26" i="2"/>
  <c r="R25" i="2"/>
  <c r="O25" i="2"/>
  <c r="P25" i="2"/>
  <c r="P26" i="2"/>
  <c r="Q26" i="2"/>
  <c r="Q25" i="2"/>
  <c r="L26" i="2"/>
  <c r="L15" i="2"/>
  <c r="L17" i="2" s="1"/>
  <c r="L19" i="2" s="1"/>
  <c r="L20" i="2" s="1"/>
  <c r="AA9" i="2" l="1"/>
  <c r="Z9" i="2"/>
  <c r="Z26" i="2"/>
  <c r="AB14" i="2"/>
  <c r="AB15" i="2" s="1"/>
  <c r="AB17" i="2" s="1"/>
  <c r="AB18" i="2" s="1"/>
  <c r="AB19" i="2" s="1"/>
  <c r="AB20" i="2" s="1"/>
  <c r="Z18" i="2"/>
  <c r="Z19" i="2"/>
  <c r="Z20" i="2" s="1"/>
  <c r="AD16" i="2"/>
  <c r="AD14" i="2" l="1"/>
  <c r="AD15" i="2" s="1"/>
  <c r="AD17" i="2" s="1"/>
  <c r="AD18" i="2" s="1"/>
  <c r="AD19" i="2" s="1"/>
  <c r="AD20" i="2" s="1"/>
  <c r="AC14" i="2"/>
  <c r="AC15" i="2" s="1"/>
  <c r="AC17" i="2" s="1"/>
  <c r="AC18" i="2" s="1"/>
  <c r="AC19" i="2" s="1"/>
  <c r="AC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tc={8B435CEC-7321-4DFE-B215-178BE2140E07}</author>
  </authors>
  <commentList>
    <comment ref="N6" authorId="0" shapeId="0" xr:uid="{8B435CEC-7321-4DFE-B215-178BE2140E07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245-246</t>
      </text>
    </comment>
  </commentList>
</comments>
</file>

<file path=xl/sharedStrings.xml><?xml version="1.0" encoding="utf-8"?>
<sst xmlns="http://schemas.openxmlformats.org/spreadsheetml/2006/main" count="51" uniqueCount="47">
  <si>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</si>
  <si>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</si>
  <si>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</si>
  <si>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</si>
  <si>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</si>
  <si>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</si>
  <si>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</si>
  <si>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</si>
  <si>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</si>
  <si>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</si>
  <si>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</si>
  <si>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</si>
  <si>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</si>
  <si>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</si>
  <si>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</si>
  <si>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</si>
  <si>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</si>
  <si>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</si>
  <si>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</si>
  <si>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</si>
  <si>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Services</t>
  </si>
  <si>
    <t>Subscription</t>
  </si>
  <si>
    <t>Operating Expenses</t>
  </si>
  <si>
    <t>Operating Income</t>
  </si>
  <si>
    <t>COGS</t>
  </si>
  <si>
    <t>Gross Profit</t>
  </si>
  <si>
    <t>R&amp;D</t>
  </si>
  <si>
    <t>S&amp;M</t>
  </si>
  <si>
    <t>G&amp;A</t>
  </si>
  <si>
    <t>EPS</t>
  </si>
  <si>
    <t>Net Income</t>
  </si>
  <si>
    <t>Taxes</t>
  </si>
  <si>
    <t>Pretax Income</t>
  </si>
  <si>
    <t>Interest Income</t>
  </si>
  <si>
    <t>Revenue y/y</t>
  </si>
  <si>
    <t>Gross Margin</t>
  </si>
  <si>
    <t>CFFO</t>
  </si>
  <si>
    <t>FCF</t>
  </si>
  <si>
    <t>CapEx</t>
  </si>
  <si>
    <t>Q125</t>
  </si>
  <si>
    <t>Q225</t>
  </si>
  <si>
    <t>Q325</t>
  </si>
  <si>
    <t>Q425</t>
  </si>
  <si>
    <t>Cloud</t>
  </si>
  <si>
    <t>Founded</t>
  </si>
  <si>
    <t>Redpanda</t>
  </si>
  <si>
    <t>&gt;+100k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</si>
</sst>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19AB4B6-4F98-49A4-91FA-3821B1C664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32845</xdr:colOff>
      <xdr:row>0</xdr:row>
      <xdr:rowOff>0</xdr:rowOff>
    </xdr:from>
    <xdr:to>
      <xdr:col>13</xdr:col>
      <xdr:colOff>32845</xdr:colOff>
      <xdr:row>49</xdr:row>
      <xdr:rowOff>98535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1562F9-53A9-001C-5378-508CA663A9D5}"/>
            </a:ext>
          </a:extLst>
        </xdr:cNvPr>
        <xdr:cNvCxnSpPr/>
      </xdr:nvCxnSpPr>
      <xdr:spPr>
        <a:xfrm>
          <a:off x="8296604" y="0"/>
          <a:ext cx="0" cy="76528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21021</xdr:colOff>
      <xdr:row>0</xdr:row>
      <xdr:rowOff>0</xdr:rowOff>
    </xdr:from>
    <xdr:to>
      <xdr:col>23</xdr:col>
      <xdr:colOff>21021</xdr:colOff>
      <xdr:row>49</xdr:row>
      <xdr:rowOff>98535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008C6F5-7CDF-4D60-8001-7E86FB6B8485}"/>
            </a:ext>
          </a:extLst>
        </xdr:cNvPr>
        <xdr:cNvCxnSpPr/>
      </xdr:nvCxnSpPr>
      <xdr:spPr>
        <a:xfrm>
          <a:off x="11950262" y="0"/>
          <a:ext cx="0" cy="76528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1355C67-58C7-47F0-9948-1C7322BBDFD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6" dT="2024-12-16T14:18:24.28" personId="{01355C67-58C7-47F0-9948-1C7322BBDFD0}" id="{8B435CEC-7321-4DFE-B215-178BE2140E07}">
    <text>Q3 guidance: 245-246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7274-B73F-4A04-BADE-068E82998B1D}">
  <dimension ref="B2:K10"/>
  <sheetViews>
    <sheetView zoomScaleNormal="100" workbookViewId="0">
      <selection activeCell="K10" sqref="K10"/>
    </sheetView>
  </sheetViews>
  <sheetFormatPr defaultRowHeight="12.75" x14ac:dyDescent="0.2"/>
  <sheetData>
    <row r="2" spans="2:11" x14ac:dyDescent="0.2">
      <c r="B2" t="s">
        <v>45</v>
      </c>
      <c r="I2" t="s">
        <v>0</v>
      </c>
      <c r="J2" s="1">
        <v>30.5</v>
      </c>
    </row>
    <row r="3" spans="2:11" x14ac:dyDescent="0.2">
      <c r="I3" t="s">
        <v>1</v>
      </c>
      <c r="J3" s="2">
        <f>250.068648+72.654851</f>
        <v>322.723499</v>
      </c>
      <c r="K3" s="3" t="s">
        <v>17</v>
      </c>
    </row>
    <row r="4" spans="2:11" x14ac:dyDescent="0.2">
      <c r="I4" t="s">
        <v>2</v>
      </c>
      <c r="J4" s="2">
        <f>+J2*J3</f>
        <v>9843.0667195000005</v>
      </c>
    </row>
    <row r="5" spans="2:11" x14ac:dyDescent="0.2">
      <c r="I5" t="s">
        <v>3</v>
      </c>
      <c r="J5" s="2">
        <f>311.328+1619.853</f>
        <v>1931.181</v>
      </c>
      <c r="K5" s="3" t="s">
        <v>17</v>
      </c>
    </row>
    <row r="6" spans="2:11" x14ac:dyDescent="0.2">
      <c r="I6" t="s">
        <v>4</v>
      </c>
      <c r="J6" s="2">
        <v>1090.2190000000001</v>
      </c>
      <c r="K6" s="3" t="s">
        <v>17</v>
      </c>
    </row>
    <row r="7" spans="2:11" x14ac:dyDescent="0.2">
      <c r="I7" t="s">
        <v>5</v>
      </c>
      <c r="J7" s="2">
        <f>+J4-J5+J6</f>
        <v>9002.1047194999992</v>
      </c>
    </row>
    <row r="10" spans="2:11" x14ac:dyDescent="0.2">
      <c r="I10" t="s">
        <v>44</v>
      </c>
      <c r="J10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E4C1-F15B-4E43-B3F5-75C996828846}">
  <dimension ref="A1:AI32"/>
  <sheetViews>
    <sheetView tabSelected="1" zoomScaleNormal="10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U4" sqref="U4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</cols>
  <sheetData>
    <row r="1" spans="1:35" x14ac:dyDescent="0.2">
      <c r="A1" s="10" t="s">
        <v>6</v>
      </c>
    </row>
    <row r="2" spans="1:35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39</v>
      </c>
      <c r="P2" s="3" t="s">
        <v>40</v>
      </c>
      <c r="Q2" s="3" t="s">
        <v>41</v>
      </c>
      <c r="R2" s="3" t="s">
        <v>42</v>
      </c>
      <c r="U2">
        <v>2021</v>
      </c>
      <c r="V2">
        <v>2022</v>
      </c>
      <c r="W2">
        <v>2023</v>
      </c>
      <c r="X2">
        <f t="shared" ref="X2:AI2" si="0">+W2+1</f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  <c r="AH2">
        <f t="shared" si="0"/>
        <v>2034</v>
      </c>
      <c r="AI2">
        <f t="shared" si="0"/>
        <v>2035</v>
      </c>
    </row>
    <row r="3" spans="1:35" x14ac:dyDescent="0.2">
      <c r="B3" t="s">
        <v>46</v>
      </c>
      <c r="M3" s="4">
        <v>1346</v>
      </c>
    </row>
    <row r="4" spans="1:35" x14ac:dyDescent="0.2">
      <c r="M4" s="4"/>
    </row>
    <row r="5" spans="1:35" x14ac:dyDescent="0.2">
      <c r="B5" t="s">
        <v>43</v>
      </c>
      <c r="M5" s="3">
        <v>130</v>
      </c>
    </row>
    <row r="6" spans="1:35" s="2" customFormat="1" x14ac:dyDescent="0.2">
      <c r="B6" s="2" t="s">
        <v>21</v>
      </c>
      <c r="C6" s="4">
        <v>113.92</v>
      </c>
      <c r="D6" s="4">
        <v>127.018</v>
      </c>
      <c r="E6" s="4">
        <v>138.72999999999999</v>
      </c>
      <c r="F6" s="4">
        <f>+V6-E6-D6-C6</f>
        <v>155.34099999999995</v>
      </c>
      <c r="G6" s="4">
        <v>160.56700000000001</v>
      </c>
      <c r="H6" s="4">
        <v>176.488</v>
      </c>
      <c r="I6" s="4">
        <v>189.27</v>
      </c>
      <c r="J6" s="4">
        <f>+W6-I6-H6-G6</f>
        <v>202.78699999999998</v>
      </c>
      <c r="K6" s="4">
        <v>206.90199999999999</v>
      </c>
      <c r="L6" s="4">
        <v>224.702</v>
      </c>
      <c r="M6" s="4">
        <v>239.851</v>
      </c>
      <c r="N6" s="4">
        <f>+M6+10</f>
        <v>249.851</v>
      </c>
      <c r="O6" s="4">
        <f>+N6+10</f>
        <v>259.851</v>
      </c>
      <c r="P6" s="4">
        <f>+O6+10</f>
        <v>269.851</v>
      </c>
      <c r="Q6" s="4">
        <f>+P6+10</f>
        <v>279.851</v>
      </c>
      <c r="R6" s="4">
        <f>+Q6+10</f>
        <v>289.851</v>
      </c>
      <c r="U6" s="2">
        <v>347.09899999999999</v>
      </c>
      <c r="V6" s="2">
        <v>535.00900000000001</v>
      </c>
      <c r="W6" s="2">
        <v>729.11199999999997</v>
      </c>
      <c r="X6" s="2">
        <f>SUM(O6:R6)</f>
        <v>1099.404</v>
      </c>
      <c r="Y6" s="2">
        <f>+X6*1.15</f>
        <v>1264.3145999999999</v>
      </c>
      <c r="Z6" s="2">
        <f>+Y6*1.15</f>
        <v>1453.9617899999998</v>
      </c>
      <c r="AA6" s="2">
        <f>+Z6*1.1</f>
        <v>1599.3579689999999</v>
      </c>
      <c r="AB6" s="2">
        <f t="shared" ref="AB6:AD6" si="1">+AA6*1.1</f>
        <v>1759.2937659000002</v>
      </c>
      <c r="AC6" s="2">
        <f t="shared" si="1"/>
        <v>1935.2231424900003</v>
      </c>
      <c r="AD6" s="2">
        <f t="shared" si="1"/>
        <v>2128.7454567390005</v>
      </c>
    </row>
    <row r="7" spans="1:35" s="2" customFormat="1" x14ac:dyDescent="0.2">
      <c r="B7" s="2" t="s">
        <v>20</v>
      </c>
      <c r="C7" s="4">
        <v>12.218999999999999</v>
      </c>
      <c r="D7" s="4">
        <v>12.388999999999999</v>
      </c>
      <c r="E7" s="4">
        <v>13.002000000000001</v>
      </c>
      <c r="F7" s="4">
        <f>+V7-E7-D7-C7</f>
        <v>13.325000000000001</v>
      </c>
      <c r="G7" s="4">
        <v>13.734999999999999</v>
      </c>
      <c r="H7" s="4">
        <v>12.797000000000001</v>
      </c>
      <c r="I7" s="4">
        <v>10.911</v>
      </c>
      <c r="J7" s="4">
        <f>+W7-I7-H7-G7</f>
        <v>10.397000000000002</v>
      </c>
      <c r="K7" s="4">
        <v>10.335000000000001</v>
      </c>
      <c r="L7" s="4">
        <v>10.284000000000001</v>
      </c>
      <c r="M7" s="4">
        <v>10.348000000000001</v>
      </c>
      <c r="N7" s="4">
        <f>+M7</f>
        <v>10.348000000000001</v>
      </c>
      <c r="O7" s="4">
        <f>+N7</f>
        <v>10.348000000000001</v>
      </c>
      <c r="P7" s="4">
        <f t="shared" ref="P7:R7" si="2">+O7</f>
        <v>10.348000000000001</v>
      </c>
      <c r="Q7" s="4">
        <f t="shared" si="2"/>
        <v>10.348000000000001</v>
      </c>
      <c r="R7" s="4">
        <f t="shared" si="2"/>
        <v>10.348000000000001</v>
      </c>
      <c r="U7" s="2">
        <v>40.765000000000001</v>
      </c>
      <c r="V7" s="2">
        <v>50.935000000000002</v>
      </c>
      <c r="W7" s="2">
        <v>47.84</v>
      </c>
      <c r="X7" s="2">
        <f>SUM(O7:R7)</f>
        <v>41.392000000000003</v>
      </c>
      <c r="Y7" s="2">
        <f t="shared" ref="Y7:AD7" si="3">+X7*1.1</f>
        <v>45.531200000000005</v>
      </c>
      <c r="Z7" s="2">
        <f t="shared" si="3"/>
        <v>50.084320000000012</v>
      </c>
      <c r="AA7" s="2">
        <f t="shared" si="3"/>
        <v>55.092752000000019</v>
      </c>
      <c r="AB7" s="2">
        <f t="shared" si="3"/>
        <v>60.602027200000023</v>
      </c>
      <c r="AC7" s="2">
        <f t="shared" si="3"/>
        <v>66.66222992000003</v>
      </c>
      <c r="AD7" s="2">
        <f t="shared" si="3"/>
        <v>73.328452912000046</v>
      </c>
    </row>
    <row r="8" spans="1:35" s="5" customFormat="1" x14ac:dyDescent="0.2">
      <c r="B8" s="5" t="s">
        <v>7</v>
      </c>
      <c r="C8" s="6">
        <f t="shared" ref="C8:F8" si="4">+C6+C7</f>
        <v>126.139</v>
      </c>
      <c r="D8" s="6">
        <f t="shared" si="4"/>
        <v>139.40700000000001</v>
      </c>
      <c r="E8" s="6">
        <f t="shared" si="4"/>
        <v>151.732</v>
      </c>
      <c r="F8" s="6">
        <f t="shared" si="4"/>
        <v>168.66599999999994</v>
      </c>
      <c r="G8" s="6">
        <f t="shared" ref="G8:R8" si="5">+G6+G7</f>
        <v>174.30200000000002</v>
      </c>
      <c r="H8" s="6">
        <f t="shared" si="5"/>
        <v>189.285</v>
      </c>
      <c r="I8" s="6">
        <f t="shared" si="5"/>
        <v>200.18100000000001</v>
      </c>
      <c r="J8" s="6">
        <f t="shared" si="5"/>
        <v>213.18399999999997</v>
      </c>
      <c r="K8" s="6">
        <f t="shared" si="5"/>
        <v>217.23699999999999</v>
      </c>
      <c r="L8" s="6">
        <f t="shared" si="5"/>
        <v>234.98599999999999</v>
      </c>
      <c r="M8" s="6">
        <f t="shared" si="5"/>
        <v>250.19900000000001</v>
      </c>
      <c r="N8" s="6">
        <f t="shared" si="5"/>
        <v>260.19900000000001</v>
      </c>
      <c r="O8" s="6">
        <f t="shared" si="5"/>
        <v>270.19900000000001</v>
      </c>
      <c r="P8" s="6">
        <f t="shared" si="5"/>
        <v>280.19900000000001</v>
      </c>
      <c r="Q8" s="6">
        <f t="shared" si="5"/>
        <v>290.19900000000001</v>
      </c>
      <c r="R8" s="6">
        <f t="shared" si="5"/>
        <v>300.19900000000001</v>
      </c>
      <c r="U8" s="5">
        <f>+U6+U7</f>
        <v>387.86399999999998</v>
      </c>
      <c r="V8" s="5">
        <f>+V6+V7</f>
        <v>585.94399999999996</v>
      </c>
      <c r="W8" s="5">
        <f>+W6+W7</f>
        <v>776.952</v>
      </c>
      <c r="X8" s="5">
        <f>+X6+X7</f>
        <v>1140.796</v>
      </c>
      <c r="Y8" s="5">
        <f>+Y6+Y7</f>
        <v>1309.8457999999998</v>
      </c>
      <c r="Z8" s="5">
        <f t="shared" ref="Z8:AD8" si="6">+Z6+Z7</f>
        <v>1504.0461099999998</v>
      </c>
      <c r="AA8" s="5">
        <f t="shared" si="6"/>
        <v>1654.4507209999999</v>
      </c>
      <c r="AB8" s="5">
        <f t="shared" si="6"/>
        <v>1819.8957931000002</v>
      </c>
      <c r="AC8" s="5">
        <f t="shared" si="6"/>
        <v>2001.8853724100004</v>
      </c>
      <c r="AD8" s="5">
        <f t="shared" si="6"/>
        <v>2202.0739096510006</v>
      </c>
    </row>
    <row r="9" spans="1:35" s="2" customFormat="1" x14ac:dyDescent="0.2">
      <c r="B9" s="2" t="s">
        <v>24</v>
      </c>
      <c r="C9" s="4">
        <v>45.777000000000001</v>
      </c>
      <c r="D9" s="4">
        <v>49.509</v>
      </c>
      <c r="E9" s="4">
        <v>53.18</v>
      </c>
      <c r="F9" s="4">
        <f>+V9-E9-D9-C9</f>
        <v>53.948999999999984</v>
      </c>
      <c r="G9" s="4">
        <v>58.143999999999998</v>
      </c>
      <c r="H9" s="4">
        <v>57.92</v>
      </c>
      <c r="I9" s="4">
        <v>56.548999999999999</v>
      </c>
      <c r="J9" s="4">
        <f>+W9-I9-H9-G9</f>
        <v>57.056999999999981</v>
      </c>
      <c r="K9" s="4">
        <v>61.220999999999997</v>
      </c>
      <c r="L9" s="4">
        <v>64.980999999999995</v>
      </c>
      <c r="M9" s="4">
        <v>63.703000000000003</v>
      </c>
      <c r="N9" s="4">
        <f>+N8*0.25</f>
        <v>65.049750000000003</v>
      </c>
      <c r="O9" s="4">
        <f>+O8*0.25</f>
        <v>67.549750000000003</v>
      </c>
      <c r="P9" s="4">
        <f>+P8*0.25</f>
        <v>70.049750000000003</v>
      </c>
      <c r="Q9" s="4">
        <f>+Q8*0.25</f>
        <v>72.549750000000003</v>
      </c>
      <c r="R9" s="4">
        <f>+R8*0.25</f>
        <v>75.049750000000003</v>
      </c>
      <c r="U9" s="2">
        <v>137.292</v>
      </c>
      <c r="V9" s="2">
        <v>202.41499999999999</v>
      </c>
      <c r="W9" s="2">
        <v>229.67</v>
      </c>
      <c r="X9" s="2">
        <f>SUM(O9:R9)</f>
        <v>285.19900000000001</v>
      </c>
      <c r="Y9" s="2">
        <f>+Y8-Y10</f>
        <v>314.36299199999996</v>
      </c>
      <c r="Z9" s="2">
        <f t="shared" ref="Z9:AD9" si="7">+Z8-Z10</f>
        <v>345.93060530000002</v>
      </c>
      <c r="AA9" s="2">
        <f t="shared" si="7"/>
        <v>363.97915861999991</v>
      </c>
      <c r="AB9" s="2">
        <f t="shared" si="7"/>
        <v>382.1781165509999</v>
      </c>
      <c r="AC9" s="2">
        <f t="shared" si="7"/>
        <v>400.3770744819999</v>
      </c>
      <c r="AD9" s="2">
        <f t="shared" si="7"/>
        <v>418.39404283369004</v>
      </c>
    </row>
    <row r="10" spans="1:35" s="2" customFormat="1" x14ac:dyDescent="0.2">
      <c r="B10" s="2" t="s">
        <v>25</v>
      </c>
      <c r="C10" s="4">
        <f t="shared" ref="C10:N10" si="8">+C8-C9</f>
        <v>80.361999999999995</v>
      </c>
      <c r="D10" s="4">
        <f t="shared" si="8"/>
        <v>89.89800000000001</v>
      </c>
      <c r="E10" s="4">
        <f t="shared" si="8"/>
        <v>98.551999999999992</v>
      </c>
      <c r="F10" s="4">
        <f t="shared" si="8"/>
        <v>114.71699999999996</v>
      </c>
      <c r="G10" s="4">
        <f t="shared" si="8"/>
        <v>116.15800000000002</v>
      </c>
      <c r="H10" s="4">
        <f t="shared" si="8"/>
        <v>131.36500000000001</v>
      </c>
      <c r="I10" s="4">
        <f t="shared" si="8"/>
        <v>143.63200000000001</v>
      </c>
      <c r="J10" s="4">
        <f t="shared" si="8"/>
        <v>156.12699999999998</v>
      </c>
      <c r="K10" s="4">
        <f t="shared" si="8"/>
        <v>156.01599999999999</v>
      </c>
      <c r="L10" s="4">
        <f t="shared" si="8"/>
        <v>170.005</v>
      </c>
      <c r="M10" s="4">
        <f t="shared" si="8"/>
        <v>186.49600000000001</v>
      </c>
      <c r="N10" s="4">
        <f t="shared" si="8"/>
        <v>195.14924999999999</v>
      </c>
      <c r="O10" s="4">
        <f t="shared" ref="O10:R10" si="9">+O8-O9</f>
        <v>202.64924999999999</v>
      </c>
      <c r="P10" s="4">
        <f t="shared" si="9"/>
        <v>210.14924999999999</v>
      </c>
      <c r="Q10" s="4">
        <f t="shared" si="9"/>
        <v>217.64924999999999</v>
      </c>
      <c r="R10" s="4">
        <f t="shared" si="9"/>
        <v>225.14924999999999</v>
      </c>
      <c r="U10" s="2">
        <f>+U8-U9</f>
        <v>250.57199999999997</v>
      </c>
      <c r="V10" s="2">
        <f>+V8-V9</f>
        <v>383.529</v>
      </c>
      <c r="W10" s="2">
        <f>+W8-W9</f>
        <v>547.28200000000004</v>
      </c>
      <c r="X10" s="2">
        <f>+X8-X9</f>
        <v>855.59699999999998</v>
      </c>
      <c r="Y10" s="2">
        <f>+Y8*0.76</f>
        <v>995.48280799999986</v>
      </c>
      <c r="Z10" s="2">
        <f>+Z8*0.77</f>
        <v>1158.1155046999997</v>
      </c>
      <c r="AA10" s="2">
        <f>+AA8*0.78</f>
        <v>1290.47156238</v>
      </c>
      <c r="AB10" s="2">
        <f>+AB8*0.79</f>
        <v>1437.7176765490003</v>
      </c>
      <c r="AC10" s="2">
        <f>+AC8*0.8</f>
        <v>1601.5082979280005</v>
      </c>
      <c r="AD10" s="2">
        <f>+AD8*0.81</f>
        <v>1783.6798668173105</v>
      </c>
    </row>
    <row r="11" spans="1:35" s="2" customFormat="1" x14ac:dyDescent="0.2">
      <c r="B11" s="2" t="s">
        <v>26</v>
      </c>
      <c r="C11" s="4">
        <v>57.661000000000001</v>
      </c>
      <c r="D11" s="4">
        <v>64.471999999999994</v>
      </c>
      <c r="E11" s="4">
        <v>70.099000000000004</v>
      </c>
      <c r="F11" s="4">
        <f>+V11-E11-D11-C11</f>
        <v>71.809000000000026</v>
      </c>
      <c r="G11" s="4">
        <v>84.89</v>
      </c>
      <c r="H11" s="4">
        <v>85.677000000000007</v>
      </c>
      <c r="I11" s="4">
        <v>91.236999999999995</v>
      </c>
      <c r="J11" s="4">
        <f t="shared" ref="J11:J13" si="10">+W11-I11-H11-G11</f>
        <v>86.947999999999965</v>
      </c>
      <c r="K11" s="4">
        <v>97.570999999999998</v>
      </c>
      <c r="L11" s="4">
        <v>106.06</v>
      </c>
      <c r="M11" s="4">
        <v>102.72</v>
      </c>
      <c r="N11" s="4">
        <f t="shared" ref="N11:N12" si="11">+J11*1.1</f>
        <v>95.642799999999966</v>
      </c>
      <c r="O11" s="4">
        <f t="shared" ref="O11:O13" si="12">+K11*1.1</f>
        <v>107.32810000000001</v>
      </c>
      <c r="P11" s="4">
        <f t="shared" ref="P11:P13" si="13">+L11*1.1</f>
        <v>116.66600000000001</v>
      </c>
      <c r="Q11" s="4">
        <f t="shared" ref="Q11:Q13" si="14">+M11*1.1</f>
        <v>112.992</v>
      </c>
      <c r="R11" s="4">
        <f t="shared" ref="R11:R13" si="15">+N11*1.1</f>
        <v>105.20707999999998</v>
      </c>
      <c r="U11" s="2">
        <v>161.92500000000001</v>
      </c>
      <c r="V11" s="2">
        <v>264.041</v>
      </c>
      <c r="W11" s="2">
        <v>348.75200000000001</v>
      </c>
      <c r="X11" s="2">
        <f t="shared" ref="X11:X13" si="16">SUM(O11:R11)</f>
        <v>442.19317999999998</v>
      </c>
      <c r="Y11" s="2">
        <f>+X11*1.01</f>
        <v>446.61511179999997</v>
      </c>
      <c r="Z11" s="2">
        <f t="shared" ref="Z11:AD11" si="17">+Y11*1.01</f>
        <v>451.08126291799999</v>
      </c>
      <c r="AA11" s="2">
        <f t="shared" si="17"/>
        <v>455.59207554718</v>
      </c>
      <c r="AB11" s="2">
        <f t="shared" si="17"/>
        <v>460.14799630265179</v>
      </c>
      <c r="AC11" s="2">
        <f t="shared" si="17"/>
        <v>464.74947626567831</v>
      </c>
      <c r="AD11" s="2">
        <f t="shared" si="17"/>
        <v>469.39697102833509</v>
      </c>
    </row>
    <row r="12" spans="1:35" s="2" customFormat="1" x14ac:dyDescent="0.2">
      <c r="B12" s="2" t="s">
        <v>27</v>
      </c>
      <c r="C12" s="4">
        <v>106.702</v>
      </c>
      <c r="D12" s="4">
        <v>112.754</v>
      </c>
      <c r="E12" s="4">
        <v>114.312</v>
      </c>
      <c r="F12" s="4">
        <f>+V12-E12-D12-C12</f>
        <v>122.68399999999997</v>
      </c>
      <c r="G12" s="4">
        <v>128.624</v>
      </c>
      <c r="H12" s="4">
        <v>127.77</v>
      </c>
      <c r="I12" s="4">
        <v>128.624</v>
      </c>
      <c r="J12" s="4">
        <f t="shared" si="10"/>
        <v>119.91099999999997</v>
      </c>
      <c r="K12" s="4">
        <v>131.352</v>
      </c>
      <c r="L12" s="4">
        <v>132.86500000000001</v>
      </c>
      <c r="M12" s="4">
        <v>137.96799999999999</v>
      </c>
      <c r="N12" s="4">
        <f t="shared" si="11"/>
        <v>131.90209999999999</v>
      </c>
      <c r="O12" s="4">
        <f t="shared" si="12"/>
        <v>144.48720000000003</v>
      </c>
      <c r="P12" s="4">
        <f t="shared" si="13"/>
        <v>146.15150000000003</v>
      </c>
      <c r="Q12" s="4">
        <f t="shared" si="14"/>
        <v>151.76480000000001</v>
      </c>
      <c r="R12" s="4">
        <f t="shared" si="15"/>
        <v>145.09231</v>
      </c>
      <c r="U12" s="2">
        <v>319.33100000000002</v>
      </c>
      <c r="V12" s="2">
        <v>456.452</v>
      </c>
      <c r="W12" s="2">
        <v>504.92899999999997</v>
      </c>
      <c r="X12" s="2">
        <f t="shared" si="16"/>
        <v>587.49581000000012</v>
      </c>
      <c r="Y12" s="2">
        <f t="shared" ref="Y12:AD12" si="18">+X12*1.05</f>
        <v>616.87060050000014</v>
      </c>
      <c r="Z12" s="2">
        <f t="shared" si="18"/>
        <v>647.7141305250002</v>
      </c>
      <c r="AA12" s="2">
        <f t="shared" si="18"/>
        <v>680.09983705125023</v>
      </c>
      <c r="AB12" s="2">
        <f t="shared" si="18"/>
        <v>714.10482890381275</v>
      </c>
      <c r="AC12" s="2">
        <f t="shared" si="18"/>
        <v>749.81007034900347</v>
      </c>
      <c r="AD12" s="2">
        <f t="shared" si="18"/>
        <v>787.30057386645365</v>
      </c>
    </row>
    <row r="13" spans="1:35" s="2" customFormat="1" x14ac:dyDescent="0.2">
      <c r="B13" s="2" t="s">
        <v>28</v>
      </c>
      <c r="C13" s="4">
        <v>27.481000000000002</v>
      </c>
      <c r="D13" s="4">
        <v>29.978999999999999</v>
      </c>
      <c r="E13" s="4">
        <v>33.040999999999997</v>
      </c>
      <c r="F13" s="4">
        <f>+V13-E13-D13-C13</f>
        <v>35.208999999999996</v>
      </c>
      <c r="G13" s="4">
        <v>35.354999999999997</v>
      </c>
      <c r="H13" s="4">
        <v>36.343000000000004</v>
      </c>
      <c r="I13" s="4">
        <v>31.873999999999999</v>
      </c>
      <c r="J13" s="4">
        <f t="shared" si="10"/>
        <v>33.948000000000015</v>
      </c>
      <c r="K13" s="4">
        <v>38.444000000000003</v>
      </c>
      <c r="L13" s="4">
        <v>39.429000000000002</v>
      </c>
      <c r="M13" s="4">
        <v>39.470999999999997</v>
      </c>
      <c r="N13" s="4">
        <f>+J13*1.1</f>
        <v>37.342800000000018</v>
      </c>
      <c r="O13" s="4">
        <f t="shared" si="12"/>
        <v>42.288400000000003</v>
      </c>
      <c r="P13" s="4">
        <f t="shared" si="13"/>
        <v>43.371900000000004</v>
      </c>
      <c r="Q13" s="4">
        <f t="shared" si="14"/>
        <v>43.418100000000003</v>
      </c>
      <c r="R13" s="4">
        <f t="shared" si="15"/>
        <v>41.077080000000024</v>
      </c>
      <c r="U13" s="2">
        <v>108.93600000000001</v>
      </c>
      <c r="V13" s="2">
        <v>125.71</v>
      </c>
      <c r="W13" s="2">
        <v>137.52000000000001</v>
      </c>
      <c r="X13" s="2">
        <f t="shared" si="16"/>
        <v>170.15548000000004</v>
      </c>
      <c r="Y13" s="2">
        <f t="shared" ref="Y13:AD13" si="19">+X13*1.01</f>
        <v>171.85703480000004</v>
      </c>
      <c r="Z13" s="2">
        <f t="shared" si="19"/>
        <v>173.57560514800005</v>
      </c>
      <c r="AA13" s="2">
        <f t="shared" si="19"/>
        <v>175.31136119948005</v>
      </c>
      <c r="AB13" s="2">
        <f t="shared" si="19"/>
        <v>177.06447481147484</v>
      </c>
      <c r="AC13" s="2">
        <f t="shared" si="19"/>
        <v>178.8351195595896</v>
      </c>
      <c r="AD13" s="2">
        <f t="shared" si="19"/>
        <v>180.62347075518551</v>
      </c>
    </row>
    <row r="14" spans="1:35" s="2" customFormat="1" x14ac:dyDescent="0.2">
      <c r="B14" s="2" t="s">
        <v>23</v>
      </c>
      <c r="C14" s="4">
        <f t="shared" ref="C14:D14" si="20">+C11+C12+C13</f>
        <v>191.84399999999999</v>
      </c>
      <c r="D14" s="4">
        <f t="shared" si="20"/>
        <v>207.20499999999998</v>
      </c>
      <c r="E14" s="4">
        <f t="shared" ref="E14:F14" si="21">+E11+E12+E13</f>
        <v>217.452</v>
      </c>
      <c r="F14" s="4">
        <f t="shared" si="21"/>
        <v>229.702</v>
      </c>
      <c r="G14" s="4">
        <f t="shared" ref="G14:J14" si="22">+G11+G12+G13</f>
        <v>248.869</v>
      </c>
      <c r="H14" s="4">
        <f t="shared" si="22"/>
        <v>249.79000000000002</v>
      </c>
      <c r="I14" s="4">
        <f t="shared" si="22"/>
        <v>251.73499999999999</v>
      </c>
      <c r="J14" s="4">
        <f t="shared" si="22"/>
        <v>240.80699999999993</v>
      </c>
      <c r="K14" s="4">
        <f>+K11+K12+K13</f>
        <v>267.36700000000002</v>
      </c>
      <c r="L14" s="4">
        <f>+L11+L12+L13</f>
        <v>278.35400000000004</v>
      </c>
      <c r="M14" s="4">
        <f>+M11+M12+M13</f>
        <v>280.15899999999999</v>
      </c>
      <c r="N14" s="4">
        <f t="shared" ref="N14:R14" si="23">+N11+N12+N13</f>
        <v>264.8877</v>
      </c>
      <c r="O14" s="4">
        <f t="shared" si="23"/>
        <v>294.10370000000006</v>
      </c>
      <c r="P14" s="4">
        <f t="shared" si="23"/>
        <v>306.18940000000003</v>
      </c>
      <c r="Q14" s="4">
        <f t="shared" si="23"/>
        <v>308.17489999999998</v>
      </c>
      <c r="R14" s="4">
        <f t="shared" si="23"/>
        <v>291.37646999999998</v>
      </c>
      <c r="U14" s="2">
        <f>+U13+U12+U11</f>
        <v>590.19200000000001</v>
      </c>
      <c r="V14" s="2">
        <f>+V13+V12+V11</f>
        <v>846.20299999999997</v>
      </c>
      <c r="W14" s="2">
        <f>+W13+W12+W11</f>
        <v>991.20100000000002</v>
      </c>
      <c r="X14" s="2">
        <f>+X13+X12+X11</f>
        <v>1199.84447</v>
      </c>
      <c r="Y14" s="2">
        <f t="shared" ref="Y14:AD14" si="24">+Y13+Y12+Y11</f>
        <v>1235.3427471000002</v>
      </c>
      <c r="Z14" s="2">
        <f t="shared" si="24"/>
        <v>1272.3709985910002</v>
      </c>
      <c r="AA14" s="2">
        <f t="shared" si="24"/>
        <v>1311.0032737979104</v>
      </c>
      <c r="AB14" s="2">
        <f t="shared" si="24"/>
        <v>1351.3173000179395</v>
      </c>
      <c r="AC14" s="2">
        <f t="shared" si="24"/>
        <v>1393.3946661742714</v>
      </c>
      <c r="AD14" s="2">
        <f t="shared" si="24"/>
        <v>1437.3210156499742</v>
      </c>
    </row>
    <row r="15" spans="1:35" s="2" customFormat="1" x14ac:dyDescent="0.2">
      <c r="B15" s="2" t="s">
        <v>22</v>
      </c>
      <c r="C15" s="4">
        <f t="shared" ref="C15:D15" si="25">+C10-C14</f>
        <v>-111.482</v>
      </c>
      <c r="D15" s="4">
        <f t="shared" si="25"/>
        <v>-117.30699999999997</v>
      </c>
      <c r="E15" s="4">
        <f t="shared" ref="E15:F15" si="26">+E10-E14</f>
        <v>-118.9</v>
      </c>
      <c r="F15" s="4">
        <f t="shared" si="26"/>
        <v>-114.98500000000004</v>
      </c>
      <c r="G15" s="4">
        <f t="shared" ref="G15:J15" si="27">+G10-G14</f>
        <v>-132.71099999999998</v>
      </c>
      <c r="H15" s="4">
        <f t="shared" si="27"/>
        <v>-118.42500000000001</v>
      </c>
      <c r="I15" s="4">
        <f t="shared" si="27"/>
        <v>-108.10299999999998</v>
      </c>
      <c r="J15" s="4">
        <f t="shared" si="27"/>
        <v>-84.67999999999995</v>
      </c>
      <c r="K15" s="4">
        <f>+K10-K14</f>
        <v>-111.35100000000003</v>
      </c>
      <c r="L15" s="4">
        <f>+L10-L14</f>
        <v>-108.34900000000005</v>
      </c>
      <c r="M15" s="4">
        <f>+M10-M14</f>
        <v>-93.662999999999982</v>
      </c>
      <c r="N15" s="4">
        <f t="shared" ref="N15:R15" si="28">+N10-N14</f>
        <v>-69.73845</v>
      </c>
      <c r="O15" s="4">
        <f t="shared" si="28"/>
        <v>-91.454450000000065</v>
      </c>
      <c r="P15" s="4">
        <f t="shared" si="28"/>
        <v>-96.04015000000004</v>
      </c>
      <c r="Q15" s="4">
        <f t="shared" si="28"/>
        <v>-90.525649999999985</v>
      </c>
      <c r="R15" s="4">
        <f t="shared" si="28"/>
        <v>-66.227219999999988</v>
      </c>
      <c r="U15" s="2">
        <f>+U10-U14</f>
        <v>-339.62</v>
      </c>
      <c r="V15" s="2">
        <f>+V10-V14</f>
        <v>-462.67399999999998</v>
      </c>
      <c r="W15" s="2">
        <f>+W10-W14</f>
        <v>-443.91899999999998</v>
      </c>
      <c r="X15" s="2">
        <f>+X10-X14</f>
        <v>-344.24747000000002</v>
      </c>
      <c r="Y15" s="2">
        <f t="shared" ref="Y15:AD15" si="29">+Y10-Y14</f>
        <v>-239.85993910000036</v>
      </c>
      <c r="Z15" s="2">
        <f t="shared" si="29"/>
        <v>-114.25549389100047</v>
      </c>
      <c r="AA15" s="2">
        <f t="shared" si="29"/>
        <v>-20.531711417910401</v>
      </c>
      <c r="AB15" s="2">
        <f t="shared" si="29"/>
        <v>86.400376531060829</v>
      </c>
      <c r="AC15" s="2">
        <f t="shared" si="29"/>
        <v>208.11363175372912</v>
      </c>
      <c r="AD15" s="2">
        <f t="shared" si="29"/>
        <v>346.3588511673363</v>
      </c>
    </row>
    <row r="16" spans="1:35" x14ac:dyDescent="0.2">
      <c r="B16" s="2" t="s">
        <v>33</v>
      </c>
      <c r="C16" s="4">
        <v>-0.81599999999999995</v>
      </c>
      <c r="D16" s="4">
        <v>1.1859999999999999</v>
      </c>
      <c r="E16" s="4">
        <v>4.7190000000000003</v>
      </c>
      <c r="F16" s="4">
        <f>+V16-E16-D16-C16</f>
        <v>11.327</v>
      </c>
      <c r="G16" s="4">
        <v>15.185</v>
      </c>
      <c r="H16" s="4">
        <v>17.61</v>
      </c>
      <c r="I16" s="4">
        <v>17.529</v>
      </c>
      <c r="J16" s="4">
        <f t="shared" ref="J16" si="30">+W16-I16-H16-G16</f>
        <v>21.685000000000002</v>
      </c>
      <c r="K16" s="4">
        <v>20.85</v>
      </c>
      <c r="L16" s="4">
        <v>21.853000000000002</v>
      </c>
      <c r="M16" s="4">
        <v>22.495000000000001</v>
      </c>
      <c r="N16" s="4">
        <f>+M16</f>
        <v>22.495000000000001</v>
      </c>
      <c r="O16" s="4">
        <f t="shared" ref="O16:R16" si="31">+N16</f>
        <v>22.495000000000001</v>
      </c>
      <c r="P16" s="4">
        <f t="shared" si="31"/>
        <v>22.495000000000001</v>
      </c>
      <c r="Q16" s="4">
        <f t="shared" si="31"/>
        <v>22.495000000000001</v>
      </c>
      <c r="R16" s="4">
        <f t="shared" si="31"/>
        <v>22.495000000000001</v>
      </c>
      <c r="U16" s="2">
        <v>-7.0000000000000001E-3</v>
      </c>
      <c r="V16" s="2">
        <v>16.416</v>
      </c>
      <c r="W16" s="2">
        <v>72.009</v>
      </c>
      <c r="X16" s="2">
        <f t="shared" ref="X16:X18" si="32">SUM(O16:R16)</f>
        <v>89.98</v>
      </c>
      <c r="Y16" s="2">
        <f>+X16</f>
        <v>89.98</v>
      </c>
      <c r="Z16" s="2">
        <f t="shared" ref="Z16:AD16" si="33">+Y16</f>
        <v>89.98</v>
      </c>
      <c r="AA16" s="2">
        <f t="shared" si="33"/>
        <v>89.98</v>
      </c>
      <c r="AB16" s="2">
        <f t="shared" si="33"/>
        <v>89.98</v>
      </c>
      <c r="AC16" s="2">
        <f t="shared" si="33"/>
        <v>89.98</v>
      </c>
      <c r="AD16" s="2">
        <f t="shared" si="33"/>
        <v>89.98</v>
      </c>
    </row>
    <row r="17" spans="2:30" x14ac:dyDescent="0.2">
      <c r="B17" s="2" t="s">
        <v>32</v>
      </c>
      <c r="C17" s="4">
        <f t="shared" ref="C17:F17" si="34">+C15+C16</f>
        <v>-112.298</v>
      </c>
      <c r="D17" s="4">
        <f t="shared" si="34"/>
        <v>-116.12099999999998</v>
      </c>
      <c r="E17" s="4">
        <f t="shared" si="34"/>
        <v>-114.18100000000001</v>
      </c>
      <c r="F17" s="4">
        <f t="shared" si="34"/>
        <v>-103.65800000000004</v>
      </c>
      <c r="G17" s="4">
        <f t="shared" ref="G17:M17" si="35">+G15+G16</f>
        <v>-117.52599999999998</v>
      </c>
      <c r="H17" s="4">
        <f t="shared" si="35"/>
        <v>-100.81500000000001</v>
      </c>
      <c r="I17" s="4">
        <f t="shared" si="35"/>
        <v>-90.573999999999984</v>
      </c>
      <c r="J17" s="4">
        <f t="shared" si="35"/>
        <v>-62.994999999999948</v>
      </c>
      <c r="K17" s="4">
        <f t="shared" si="35"/>
        <v>-90.501000000000033</v>
      </c>
      <c r="L17" s="4">
        <f t="shared" si="35"/>
        <v>-86.496000000000038</v>
      </c>
      <c r="M17" s="4">
        <f t="shared" si="35"/>
        <v>-71.167999999999978</v>
      </c>
      <c r="N17" s="4">
        <f t="shared" ref="N17:R17" si="36">+N15+N16</f>
        <v>-47.243449999999996</v>
      </c>
      <c r="O17" s="4">
        <f t="shared" si="36"/>
        <v>-68.959450000000061</v>
      </c>
      <c r="P17" s="4">
        <f t="shared" si="36"/>
        <v>-73.545150000000035</v>
      </c>
      <c r="Q17" s="4">
        <f t="shared" si="36"/>
        <v>-68.03064999999998</v>
      </c>
      <c r="R17" s="4">
        <f t="shared" si="36"/>
        <v>-43.732219999999984</v>
      </c>
      <c r="U17" s="2">
        <f>+U15+U16</f>
        <v>-339.62700000000001</v>
      </c>
      <c r="V17" s="2">
        <f>+V15+V16</f>
        <v>-446.25799999999998</v>
      </c>
      <c r="W17" s="2">
        <f>+W15+W16</f>
        <v>-371.90999999999997</v>
      </c>
      <c r="X17" s="2">
        <f>+X15+X16</f>
        <v>-254.26747</v>
      </c>
      <c r="Y17" s="2">
        <f t="shared" ref="Y17:AD17" si="37">+Y15+Y16</f>
        <v>-149.87993910000034</v>
      </c>
      <c r="Z17" s="2">
        <f t="shared" si="37"/>
        <v>-24.275493891000465</v>
      </c>
      <c r="AA17" s="2">
        <f t="shared" si="37"/>
        <v>69.448288582089603</v>
      </c>
      <c r="AB17" s="2">
        <f t="shared" si="37"/>
        <v>176.38037653106085</v>
      </c>
      <c r="AC17" s="2">
        <f t="shared" si="37"/>
        <v>298.09363175372914</v>
      </c>
      <c r="AD17" s="2">
        <f t="shared" si="37"/>
        <v>436.33885116733632</v>
      </c>
    </row>
    <row r="18" spans="2:30" x14ac:dyDescent="0.2">
      <c r="B18" s="2" t="s">
        <v>31</v>
      </c>
      <c r="C18" s="4">
        <v>0.68899999999999995</v>
      </c>
      <c r="D18" s="4">
        <v>1.51</v>
      </c>
      <c r="E18" s="4">
        <v>1.8680000000000001</v>
      </c>
      <c r="F18" s="4">
        <f>+V18-E18-D18-C18</f>
        <v>2.226</v>
      </c>
      <c r="G18" s="4">
        <v>1.647</v>
      </c>
      <c r="H18" s="4">
        <v>1.667</v>
      </c>
      <c r="I18" s="4">
        <v>1.5669999999999999</v>
      </c>
      <c r="J18" s="4">
        <f t="shared" ref="J18" si="38">+W18-I18-H18-G18</f>
        <v>31.191000000000003</v>
      </c>
      <c r="K18" s="4">
        <v>2.4660000000000002</v>
      </c>
      <c r="L18" s="4">
        <v>3.4039999999999999</v>
      </c>
      <c r="M18" s="4">
        <v>2.976</v>
      </c>
      <c r="N18" s="4">
        <f>+N17*0.1</f>
        <v>-4.7243449999999996</v>
      </c>
      <c r="O18" s="4">
        <f t="shared" ref="O18:R18" si="39">+O17*0.1</f>
        <v>-6.8959450000000064</v>
      </c>
      <c r="P18" s="4">
        <f t="shared" si="39"/>
        <v>-7.3545150000000037</v>
      </c>
      <c r="Q18" s="4">
        <f t="shared" si="39"/>
        <v>-6.8030649999999984</v>
      </c>
      <c r="R18" s="4">
        <f t="shared" si="39"/>
        <v>-4.3732219999999984</v>
      </c>
      <c r="U18" s="2">
        <v>3.1739999999999999</v>
      </c>
      <c r="V18" s="2">
        <v>6.2930000000000001</v>
      </c>
      <c r="W18" s="2">
        <v>36.072000000000003</v>
      </c>
      <c r="X18" s="2">
        <f t="shared" si="32"/>
        <v>-25.426747000000006</v>
      </c>
      <c r="Y18" s="2">
        <f>+Y17*0.1</f>
        <v>-14.987993910000036</v>
      </c>
      <c r="Z18" s="2">
        <f t="shared" ref="Z18:AD18" si="40">+Z17*0.1</f>
        <v>-2.4275493891000468</v>
      </c>
      <c r="AA18" s="2">
        <f t="shared" si="40"/>
        <v>6.944828858208961</v>
      </c>
      <c r="AB18" s="2">
        <f t="shared" si="40"/>
        <v>17.638037653106085</v>
      </c>
      <c r="AC18" s="2">
        <f t="shared" si="40"/>
        <v>29.809363175372916</v>
      </c>
      <c r="AD18" s="2">
        <f t="shared" si="40"/>
        <v>43.633885116733637</v>
      </c>
    </row>
    <row r="19" spans="2:30" x14ac:dyDescent="0.2">
      <c r="B19" t="s">
        <v>30</v>
      </c>
      <c r="C19" s="4">
        <f t="shared" ref="C19:F19" si="41">+C17-C18</f>
        <v>-112.98699999999999</v>
      </c>
      <c r="D19" s="4">
        <f t="shared" si="41"/>
        <v>-117.63099999999999</v>
      </c>
      <c r="E19" s="4">
        <f t="shared" si="41"/>
        <v>-116.04900000000001</v>
      </c>
      <c r="F19" s="4">
        <f t="shared" si="41"/>
        <v>-105.88400000000004</v>
      </c>
      <c r="G19" s="4">
        <f t="shared" ref="G19:M19" si="42">+G17-G18</f>
        <v>-119.17299999999999</v>
      </c>
      <c r="H19" s="4">
        <f t="shared" si="42"/>
        <v>-102.48200000000001</v>
      </c>
      <c r="I19" s="4">
        <f t="shared" si="42"/>
        <v>-92.140999999999977</v>
      </c>
      <c r="J19" s="4">
        <f t="shared" si="42"/>
        <v>-94.18599999999995</v>
      </c>
      <c r="K19" s="4">
        <f t="shared" si="42"/>
        <v>-92.967000000000027</v>
      </c>
      <c r="L19" s="4">
        <f t="shared" si="42"/>
        <v>-89.900000000000034</v>
      </c>
      <c r="M19" s="4">
        <f t="shared" si="42"/>
        <v>-74.143999999999977</v>
      </c>
      <c r="N19" s="4">
        <f t="shared" ref="N19:R19" si="43">+N17-N18</f>
        <v>-42.519104999999996</v>
      </c>
      <c r="O19" s="4">
        <f t="shared" si="43"/>
        <v>-62.063505000000056</v>
      </c>
      <c r="P19" s="4">
        <f t="shared" si="43"/>
        <v>-66.190635000000029</v>
      </c>
      <c r="Q19" s="4">
        <f t="shared" si="43"/>
        <v>-61.227584999999983</v>
      </c>
      <c r="R19" s="4">
        <f t="shared" si="43"/>
        <v>-39.358997999999985</v>
      </c>
      <c r="U19" s="2">
        <f>+U17-U18</f>
        <v>-342.80099999999999</v>
      </c>
      <c r="V19" s="2">
        <f>+V17-V18</f>
        <v>-452.55099999999999</v>
      </c>
      <c r="W19" s="2">
        <f>+W17-W18</f>
        <v>-407.98199999999997</v>
      </c>
      <c r="X19" s="2">
        <f>+X17-X18</f>
        <v>-228.840723</v>
      </c>
      <c r="Y19" s="2">
        <f t="shared" ref="Y19:AD19" si="44">+Y17-Y18</f>
        <v>-134.89194519000031</v>
      </c>
      <c r="Z19" s="2">
        <f t="shared" si="44"/>
        <v>-21.847944501900418</v>
      </c>
      <c r="AA19" s="2">
        <f t="shared" si="44"/>
        <v>62.503459723880638</v>
      </c>
      <c r="AB19" s="2">
        <f t="shared" si="44"/>
        <v>158.74233887795475</v>
      </c>
      <c r="AC19" s="2">
        <f t="shared" si="44"/>
        <v>268.2842685783562</v>
      </c>
      <c r="AD19" s="2">
        <f t="shared" si="44"/>
        <v>392.70496605060271</v>
      </c>
    </row>
    <row r="20" spans="2:30" x14ac:dyDescent="0.2">
      <c r="B20" t="s">
        <v>29</v>
      </c>
      <c r="C20" s="9">
        <f t="shared" ref="C20:M20" si="45">+C19/C21</f>
        <v>-0.41403736583613809</v>
      </c>
      <c r="D20" s="9">
        <f t="shared" si="45"/>
        <v>-0.42272408516393017</v>
      </c>
      <c r="E20" s="9">
        <f t="shared" si="45"/>
        <v>-0.41113167830357072</v>
      </c>
      <c r="F20" s="9">
        <f t="shared" si="45"/>
        <v>-0.37804864694599072</v>
      </c>
      <c r="G20" s="9">
        <f t="shared" si="45"/>
        <v>-0.40831552329977239</v>
      </c>
      <c r="H20" s="9">
        <f t="shared" si="45"/>
        <v>-0.34409886001009987</v>
      </c>
      <c r="I20" s="9">
        <f t="shared" si="45"/>
        <v>-0.30319849020241846</v>
      </c>
      <c r="J20" s="9">
        <f t="shared" si="45"/>
        <v>-0.31319385181441678</v>
      </c>
      <c r="K20" s="9">
        <f t="shared" si="45"/>
        <v>-0.29588179121585673</v>
      </c>
      <c r="L20" s="9">
        <f t="shared" si="45"/>
        <v>-0.28145151313937455</v>
      </c>
      <c r="M20" s="9">
        <f t="shared" si="45"/>
        <v>-0.22861514510400036</v>
      </c>
      <c r="N20" s="9">
        <f t="shared" ref="N20:R20" si="46">+N19/N21</f>
        <v>-0.13110314198407463</v>
      </c>
      <c r="O20" s="9">
        <f t="shared" si="46"/>
        <v>-0.19136622250266871</v>
      </c>
      <c r="P20" s="9">
        <f t="shared" si="46"/>
        <v>-0.20409178928909871</v>
      </c>
      <c r="Q20" s="9">
        <f t="shared" si="46"/>
        <v>-0.18878875201152509</v>
      </c>
      <c r="R20" s="9">
        <f t="shared" si="46"/>
        <v>-0.12135928785765616</v>
      </c>
      <c r="U20" s="1">
        <f>+U19/U21</f>
        <v>-1.8173415869099196</v>
      </c>
      <c r="V20" s="1">
        <f>+V19/V21</f>
        <v>-1.6157898570516318</v>
      </c>
      <c r="W20" s="1">
        <f>+W19/W21</f>
        <v>-1.3566501820965902</v>
      </c>
      <c r="X20" s="1">
        <f>+X19/X21</f>
        <v>-0.70560605166094847</v>
      </c>
      <c r="Y20" s="1">
        <f>+Y19/Y21</f>
        <v>-0.41592497873021139</v>
      </c>
      <c r="Z20" s="1">
        <f t="shared" ref="Z20:AD20" si="47">+Z19/Z21</f>
        <v>-6.7365815204549415E-2</v>
      </c>
      <c r="AA20" s="1">
        <f t="shared" si="47"/>
        <v>0.19272277614206165</v>
      </c>
      <c r="AB20" s="1">
        <f t="shared" si="47"/>
        <v>0.48946513321013208</v>
      </c>
      <c r="AC20" s="1">
        <f t="shared" si="47"/>
        <v>0.82722603299203612</v>
      </c>
      <c r="AD20" s="1">
        <f t="shared" si="47"/>
        <v>1.21086403210941</v>
      </c>
    </row>
    <row r="21" spans="2:30" x14ac:dyDescent="0.2">
      <c r="B21" t="s">
        <v>1</v>
      </c>
      <c r="C21" s="4">
        <v>272.890829</v>
      </c>
      <c r="D21" s="4">
        <v>278.26898</v>
      </c>
      <c r="E21" s="4">
        <v>282.26722999999998</v>
      </c>
      <c r="F21" s="4">
        <f>+V21</f>
        <v>280.08035699999999</v>
      </c>
      <c r="G21" s="4">
        <v>291.86497500000002</v>
      </c>
      <c r="H21" s="4">
        <v>297.8272</v>
      </c>
      <c r="I21" s="4">
        <v>303.89663200000001</v>
      </c>
      <c r="J21" s="4">
        <f>+W21</f>
        <v>300.727487</v>
      </c>
      <c r="K21" s="4">
        <v>314.20318099999997</v>
      </c>
      <c r="L21" s="4">
        <v>319.41558600000002</v>
      </c>
      <c r="M21" s="4">
        <v>324.317971</v>
      </c>
      <c r="N21" s="4">
        <f>+M21</f>
        <v>324.317971</v>
      </c>
      <c r="O21" s="4">
        <f t="shared" ref="O21:R21" si="48">+N21</f>
        <v>324.317971</v>
      </c>
      <c r="P21" s="4">
        <f t="shared" si="48"/>
        <v>324.317971</v>
      </c>
      <c r="Q21" s="4">
        <f t="shared" si="48"/>
        <v>324.317971</v>
      </c>
      <c r="R21" s="4">
        <f t="shared" si="48"/>
        <v>324.317971</v>
      </c>
      <c r="U21" s="2">
        <v>188.62772000000001</v>
      </c>
      <c r="V21" s="2">
        <v>280.08035699999999</v>
      </c>
      <c r="W21" s="2">
        <v>300.727487</v>
      </c>
      <c r="X21" s="2">
        <f>AVERAGE(O21:R21)</f>
        <v>324.317971</v>
      </c>
      <c r="Y21" s="2">
        <f>+X21</f>
        <v>324.317971</v>
      </c>
      <c r="Z21" s="2">
        <f t="shared" ref="Z21:AD21" si="49">+Y21</f>
        <v>324.317971</v>
      </c>
      <c r="AA21" s="2">
        <f t="shared" si="49"/>
        <v>324.317971</v>
      </c>
      <c r="AB21" s="2">
        <f t="shared" si="49"/>
        <v>324.317971</v>
      </c>
      <c r="AC21" s="2">
        <f t="shared" si="49"/>
        <v>324.317971</v>
      </c>
      <c r="AD21" s="2">
        <f t="shared" si="49"/>
        <v>324.317971</v>
      </c>
    </row>
    <row r="25" spans="2:30" x14ac:dyDescent="0.2">
      <c r="B25" t="s">
        <v>34</v>
      </c>
      <c r="G25" s="7">
        <f t="shared" ref="G25:I25" si="50">+G8/C8-1</f>
        <v>0.38182481231022947</v>
      </c>
      <c r="H25" s="7">
        <f t="shared" si="50"/>
        <v>0.3577869117045771</v>
      </c>
      <c r="I25" s="7">
        <f t="shared" si="50"/>
        <v>0.31930640866791449</v>
      </c>
      <c r="J25" s="7">
        <f>+J8/F8-1</f>
        <v>0.26394175471049319</v>
      </c>
      <c r="K25" s="7">
        <f>+K8/G8-1</f>
        <v>0.24632534336955381</v>
      </c>
      <c r="L25" s="7">
        <f>+L8/H8-1</f>
        <v>0.24144015637794847</v>
      </c>
      <c r="M25" s="7">
        <f>+M8/I8-1</f>
        <v>0.24986387319475867</v>
      </c>
      <c r="N25" s="7">
        <f t="shared" ref="N25:R25" si="51">+N8/J8-1</f>
        <v>0.22053718853197268</v>
      </c>
      <c r="O25" s="7">
        <f t="shared" si="51"/>
        <v>0.24379824799642802</v>
      </c>
      <c r="P25" s="7">
        <f t="shared" si="51"/>
        <v>0.19240720723787819</v>
      </c>
      <c r="Q25" s="7">
        <f t="shared" si="51"/>
        <v>0.15987274129792683</v>
      </c>
      <c r="R25" s="7">
        <f t="shared" si="51"/>
        <v>0.15372849242310682</v>
      </c>
      <c r="V25" s="8">
        <f>+V8/U8-1</f>
        <v>0.51069447022667736</v>
      </c>
      <c r="W25" s="8">
        <f>+W8/V8-1</f>
        <v>0.32598337042447745</v>
      </c>
      <c r="X25" s="8">
        <f>+X8/W8-1</f>
        <v>0.46829662578898068</v>
      </c>
      <c r="Y25" s="8">
        <f t="shared" ref="Y25:AD25" si="52">+Y8/X8-1</f>
        <v>0.14818582814105219</v>
      </c>
      <c r="Z25" s="8">
        <f t="shared" si="52"/>
        <v>0.14826196335477038</v>
      </c>
      <c r="AA25" s="8">
        <f t="shared" si="52"/>
        <v>0.10000000000000009</v>
      </c>
      <c r="AB25" s="8">
        <f t="shared" si="52"/>
        <v>0.10000000000000009</v>
      </c>
      <c r="AC25" s="8">
        <f t="shared" si="52"/>
        <v>0.10000000000000009</v>
      </c>
      <c r="AD25" s="8">
        <f t="shared" si="52"/>
        <v>0.10000000000000009</v>
      </c>
    </row>
    <row r="26" spans="2:30" x14ac:dyDescent="0.2">
      <c r="B26" t="s">
        <v>35</v>
      </c>
      <c r="C26" s="7">
        <f t="shared" ref="C26:M26" si="53">+C10/C8</f>
        <v>0.63709082837187547</v>
      </c>
      <c r="D26" s="7">
        <f t="shared" si="53"/>
        <v>0.64486001420301708</v>
      </c>
      <c r="E26" s="7">
        <f t="shared" si="53"/>
        <v>0.6495136161126196</v>
      </c>
      <c r="F26" s="7">
        <f t="shared" si="53"/>
        <v>0.68014300451780441</v>
      </c>
      <c r="G26" s="7">
        <f t="shared" si="53"/>
        <v>0.66641805601771642</v>
      </c>
      <c r="H26" s="7">
        <f t="shared" si="53"/>
        <v>0.69400639247695284</v>
      </c>
      <c r="I26" s="7">
        <f t="shared" si="53"/>
        <v>0.71751065285916249</v>
      </c>
      <c r="J26" s="7">
        <f t="shared" si="53"/>
        <v>0.73235796307415191</v>
      </c>
      <c r="K26" s="7">
        <f t="shared" si="53"/>
        <v>0.71818336655357973</v>
      </c>
      <c r="L26" s="7">
        <f t="shared" si="53"/>
        <v>0.72346863217383162</v>
      </c>
      <c r="M26" s="7">
        <f t="shared" si="53"/>
        <v>0.7453906690274541</v>
      </c>
      <c r="N26" s="7">
        <f t="shared" ref="N26:R26" si="54">+N10/N8</f>
        <v>0.75</v>
      </c>
      <c r="O26" s="7">
        <f t="shared" si="54"/>
        <v>0.75</v>
      </c>
      <c r="P26" s="7">
        <f t="shared" si="54"/>
        <v>0.75</v>
      </c>
      <c r="Q26" s="7">
        <f t="shared" si="54"/>
        <v>0.75</v>
      </c>
      <c r="R26" s="7">
        <f t="shared" si="54"/>
        <v>0.75</v>
      </c>
      <c r="U26" s="8">
        <f>+U10/U8</f>
        <v>0.64603056741538267</v>
      </c>
      <c r="V26" s="8">
        <f>+V10/V8</f>
        <v>0.65454889887088186</v>
      </c>
      <c r="W26" s="8">
        <f>+W10/W8</f>
        <v>0.7043961531729116</v>
      </c>
      <c r="X26" s="8">
        <f>+X10/X8</f>
        <v>0.75</v>
      </c>
      <c r="Y26" s="8">
        <f t="shared" ref="Y26:AD26" si="55">+Y10/Y8</f>
        <v>0.76</v>
      </c>
      <c r="Z26" s="8">
        <f t="shared" si="55"/>
        <v>0.76999999999999991</v>
      </c>
      <c r="AA26" s="8">
        <f t="shared" si="55"/>
        <v>0.78</v>
      </c>
      <c r="AB26" s="8">
        <f t="shared" si="55"/>
        <v>0.79</v>
      </c>
      <c r="AC26" s="8">
        <f t="shared" si="55"/>
        <v>0.8</v>
      </c>
      <c r="AD26" s="8">
        <f t="shared" si="55"/>
        <v>0.81</v>
      </c>
    </row>
    <row r="30" spans="2:30" s="2" customFormat="1" x14ac:dyDescent="0.2">
      <c r="B30" s="2" t="s">
        <v>36</v>
      </c>
      <c r="C30" s="4"/>
      <c r="D30" s="4"/>
      <c r="E30" s="4"/>
      <c r="F30" s="4"/>
      <c r="G30" s="4">
        <v>-77.772000000000006</v>
      </c>
      <c r="H30" s="4">
        <f>-106.832-G30</f>
        <v>-29.059999999999988</v>
      </c>
      <c r="I30" s="4"/>
      <c r="J30" s="4"/>
      <c r="K30" s="4">
        <v>-25.954000000000001</v>
      </c>
      <c r="L30" s="4">
        <f>-17.364-K30</f>
        <v>8.59</v>
      </c>
      <c r="M30" s="4"/>
      <c r="N30" s="4"/>
      <c r="O30" s="4"/>
      <c r="P30" s="4"/>
      <c r="Q30" s="4"/>
      <c r="R30" s="4"/>
      <c r="U30" s="2">
        <v>-105.06</v>
      </c>
      <c r="V30" s="2">
        <v>-157.333</v>
      </c>
      <c r="W30" s="2">
        <v>-103.657</v>
      </c>
    </row>
    <row r="31" spans="2:30" x14ac:dyDescent="0.2">
      <c r="B31" t="s">
        <v>38</v>
      </c>
      <c r="U31" s="2">
        <v>-3.6</v>
      </c>
      <c r="V31" s="2">
        <v>-4.1210000000000004</v>
      </c>
      <c r="W31" s="2">
        <v>-2.8340000000000001</v>
      </c>
    </row>
    <row r="32" spans="2:30" x14ac:dyDescent="0.2">
      <c r="B32" t="s">
        <v>37</v>
      </c>
      <c r="U32" s="2">
        <f>+U30+U31</f>
        <v>-108.66</v>
      </c>
      <c r="V32" s="2">
        <f>+V30+V31</f>
        <v>-161.45400000000001</v>
      </c>
      <c r="W32" s="2">
        <f>+W30+W31</f>
        <v>-106.491</v>
      </c>
    </row>
  </sheetData>
  <hyperlinks>
    <hyperlink ref="A1" location="Main!A1" display="Main" xr:uid="{79B40BC2-42A1-4994-B47B-CFFEC17CF4D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2024-10-13T14:21:56Z</dcterms:created>
  <dcterms:modified xsi:type="dcterms:W3CDTF">2025-10-08T13:35:32Z</dcterms:modified>
</cp:coreProperties>
</file>