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40B8DC0-A1D5-409E-AEA1-E99CDC44BA48}" xr6:coauthVersionLast="47" xr6:coauthVersionMax="47" xr10:uidLastSave="{00000000-0000-0000-0000-000000000000}"/>
  <bookViews>
    <workbookView xWindow="3675" yWindow="3675" windowWidth="18075" windowHeight="16020" xr2:uid="{F0957ACF-32FC-43C3-9651-3CCCA93A607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1" i="2"/>
  <c r="S13" i="2"/>
  <c r="S11" i="2"/>
  <c r="T13" i="2"/>
  <c r="T11" i="2"/>
  <c r="T12" i="2" s="1"/>
  <c r="T14" i="2" s="1"/>
  <c r="T15" i="2" s="1"/>
  <c r="S16" i="2"/>
  <c r="T16" i="2"/>
  <c r="S12" i="2"/>
  <c r="S14" i="2" s="1"/>
  <c r="S15" i="2" s="1"/>
  <c r="R12" i="2"/>
  <c r="R14" i="2" s="1"/>
  <c r="S9" i="2"/>
  <c r="S10" i="2" s="1"/>
  <c r="R9" i="2"/>
  <c r="R10" i="2" s="1"/>
  <c r="T10" i="2"/>
  <c r="T9" i="2"/>
  <c r="S6" i="2"/>
  <c r="R6" i="2"/>
  <c r="T6" i="2"/>
  <c r="AC2" i="2"/>
  <c r="AB2" i="2"/>
  <c r="AA2" i="2"/>
  <c r="Z2" i="2"/>
  <c r="Y2" i="2"/>
  <c r="X2" i="2"/>
  <c r="W2" i="2"/>
  <c r="V2" i="2"/>
  <c r="U2" i="2"/>
  <c r="T2" i="2"/>
  <c r="S2" i="2"/>
  <c r="S4" i="2"/>
  <c r="T4" i="2"/>
  <c r="G18" i="2"/>
  <c r="C11" i="2"/>
  <c r="C9" i="2"/>
  <c r="C6" i="2"/>
  <c r="D11" i="2"/>
  <c r="D9" i="2"/>
  <c r="D6" i="2"/>
  <c r="H18" i="2"/>
  <c r="H11" i="2"/>
  <c r="H9" i="2"/>
  <c r="H6" i="2"/>
  <c r="E19" i="2"/>
  <c r="I18" i="2"/>
  <c r="I11" i="2"/>
  <c r="E11" i="2"/>
  <c r="E9" i="2"/>
  <c r="E6" i="2"/>
  <c r="E10" i="2" s="1"/>
  <c r="E12" i="2" s="1"/>
  <c r="E14" i="2" s="1"/>
  <c r="E15" i="2" s="1"/>
  <c r="I9" i="2"/>
  <c r="I6" i="2"/>
  <c r="J18" i="2"/>
  <c r="F19" i="2"/>
  <c r="F11" i="2"/>
  <c r="F9" i="2"/>
  <c r="F6" i="2"/>
  <c r="J11" i="2"/>
  <c r="J9" i="2"/>
  <c r="J6" i="2"/>
  <c r="J10" i="2" s="1"/>
  <c r="J12" i="2" s="1"/>
  <c r="J14" i="2" s="1"/>
  <c r="J15" i="2" s="1"/>
  <c r="G19" i="2"/>
  <c r="K19" i="2"/>
  <c r="K18" i="2"/>
  <c r="K15" i="2"/>
  <c r="K14" i="2"/>
  <c r="K12" i="2"/>
  <c r="G9" i="2"/>
  <c r="G10" i="2" s="1"/>
  <c r="G12" i="2" s="1"/>
  <c r="G14" i="2" s="1"/>
  <c r="G15" i="2" s="1"/>
  <c r="K10" i="2"/>
  <c r="K9" i="2"/>
  <c r="G6" i="2"/>
  <c r="K6" i="2"/>
  <c r="J4" i="1"/>
  <c r="J5" i="1" s="1"/>
  <c r="J8" i="1" s="1"/>
  <c r="C10" i="2" l="1"/>
  <c r="C12" i="2" s="1"/>
  <c r="C14" i="2" s="1"/>
  <c r="C15" i="2" s="1"/>
  <c r="C19" i="2"/>
  <c r="D10" i="2"/>
  <c r="D12" i="2" s="1"/>
  <c r="D14" i="2" s="1"/>
  <c r="D15" i="2" s="1"/>
  <c r="D19" i="2"/>
  <c r="H10" i="2"/>
  <c r="H12" i="2" s="1"/>
  <c r="H14" i="2" s="1"/>
  <c r="H15" i="2" s="1"/>
  <c r="H19" i="2"/>
  <c r="I10" i="2"/>
  <c r="I12" i="2" s="1"/>
  <c r="I14" i="2" s="1"/>
  <c r="I15" i="2" s="1"/>
  <c r="I19" i="2"/>
  <c r="F10" i="2"/>
  <c r="F12" i="2" s="1"/>
  <c r="F14" i="2" s="1"/>
  <c r="F15" i="2" s="1"/>
  <c r="J19" i="2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<sst xmlns="http://schemas.openxmlformats.org/spreadsheetml/2006/main" count="49" uniqueCount="45">
  <si>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</si>
  <si>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</si>
  <si>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</si>
  <si>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</si>
  <si>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</si>
  <si>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</si>
  <si>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</si>
  <si>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</si>
  <si>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</si>
  <si>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</si>
  <si>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</si>
  <si>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</si>
  <si>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</si>
  <si>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</si>
  <si>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</si>
  <si>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</si>
  <si>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Q123</t>
  </si>
  <si>
    <t>Q223</t>
  </si>
  <si>
    <t>Q323</t>
  </si>
  <si>
    <t>Q423</t>
  </si>
  <si>
    <t>Gross Profit</t>
  </si>
  <si>
    <t>COGS</t>
  </si>
  <si>
    <t>Operating Expenses</t>
  </si>
  <si>
    <t>Operating Income</t>
  </si>
  <si>
    <t>SG&amp;A</t>
  </si>
  <si>
    <t>A&amp;M</t>
  </si>
  <si>
    <t>Net Income</t>
  </si>
  <si>
    <t>Taxes</t>
  </si>
  <si>
    <t>Pretax Income</t>
  </si>
  <si>
    <t>Interest Income</t>
  </si>
  <si>
    <t>EPS</t>
  </si>
  <si>
    <t>Revenue y/y</t>
  </si>
  <si>
    <t>Gross Margin</t>
  </si>
  <si>
    <t>FY24</t>
  </si>
  <si>
    <t>FY25</t>
  </si>
  <si>
    <t>FY26</t>
  </si>
  <si>
    <t>FY23</t>
  </si>
  <si>
    <t>FY27</t>
  </si>
  <si>
    <t>FY28</t>
  </si>
  <si>
    <t>FY29</t>
  </si>
  <si>
    <t>FY30</t>
  </si>
  <si>
    <t>FY31</t>
  </si>
  <si>
    <t>FY32</t>
  </si>
  <si>
    <t>FY33</t>
  </si>
  <si>
    <t>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</si>
</sst>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0</xdr:row>
      <xdr:rowOff>63500</xdr:rowOff>
    </xdr:from>
    <xdr:to>
      <xdr:col>20</xdr:col>
      <xdr:colOff>25400</xdr:colOff>
      <xdr:row>55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501C81-966F-2BB8-8F70-43A2506F678C}"/>
            </a:ext>
          </a:extLst>
        </xdr:cNvPr>
        <xdr:cNvCxnSpPr/>
      </xdr:nvCxnSpPr>
      <xdr:spPr>
        <a:xfrm>
          <a:off x="12471400" y="63500"/>
          <a:ext cx="0" cy="9067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0623-ECBE-4A52-AA2B-BC4DA3853D41}">
  <dimension ref="I3:K8"/>
  <sheetViews>
    <sheetView tabSelected="1" zoomScaleNormal="100" workbookViewId="0">
      <selection activeCell="L15" sqref="L15"/>
    </sheetView>
  </sheetViews>
  <sheetFormatPr defaultRowHeight="12.75" x14ac:dyDescent="0.2"/>
  <cols>
    <col min="1" max="12" width="9.140625" style="1"/>
    <col min="13" max="13" width="9" style="1" customWidth="1"/>
    <col min="14" max="16384" width="9.140625" style="1"/>
  </cols>
  <sheetData>
    <row r="3" spans="9:11" x14ac:dyDescent="0.2">
      <c r="I3" s="1" t="s">
        <v>0</v>
      </c>
      <c r="J3" s="1">
        <v>37.72</v>
      </c>
    </row>
    <row r="4" spans="9:11" x14ac:dyDescent="0.2">
      <c r="I4" s="1" t="s">
        <v>1</v>
      </c>
      <c r="J4" s="2">
        <f>219.698561+195.511443</f>
        <v>415.21000400000003</v>
      </c>
      <c r="K4" s="3" t="s">
        <v>6</v>
      </c>
    </row>
    <row r="5" spans="9:11" x14ac:dyDescent="0.2">
      <c r="I5" s="1" t="s">
        <v>2</v>
      </c>
      <c r="J5" s="2">
        <f>+J3*J4</f>
        <v>15661.721350880001</v>
      </c>
    </row>
    <row r="6" spans="9:11" x14ac:dyDescent="0.2">
      <c r="I6" s="1" t="s">
        <v>3</v>
      </c>
      <c r="J6" s="2">
        <v>616.4</v>
      </c>
      <c r="K6" s="3" t="s">
        <v>6</v>
      </c>
    </row>
    <row r="7" spans="9:11" x14ac:dyDescent="0.2">
      <c r="I7" s="1" t="s">
        <v>4</v>
      </c>
      <c r="J7" s="2">
        <v>0</v>
      </c>
      <c r="K7" s="3" t="s">
        <v>6</v>
      </c>
    </row>
    <row r="8" spans="9:11" x14ac:dyDescent="0.2">
      <c r="I8" s="1" t="s">
        <v>5</v>
      </c>
      <c r="J8" s="2">
        <f>+J5-J6+J7</f>
        <v>15045.321350880002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05B7-60AD-4176-A4BF-E2F83D6B82FA}">
  <dimension ref="A1:AC1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P44" sqref="AP44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11" width="10.140625" style="3" bestFit="1" customWidth="1"/>
    <col min="12" max="14" width="9" style="3" customWidth="1"/>
    <col min="15" max="17" width="9.140625" style="1"/>
    <col min="18" max="19" width="10.140625" style="1" bestFit="1" customWidth="1"/>
    <col min="20" max="29" width="10.140625" style="3" bestFit="1" customWidth="1"/>
    <col min="30" max="16384" width="9.140625" style="1"/>
  </cols>
  <sheetData>
    <row r="1" spans="1:29" x14ac:dyDescent="0.2">
      <c r="A1" s="1" t="s">
        <v>7</v>
      </c>
    </row>
    <row r="2" spans="1:29" s="12" customFormat="1" x14ac:dyDescent="0.2">
      <c r="C2" s="13">
        <v>45046</v>
      </c>
      <c r="D2" s="13">
        <v>45137</v>
      </c>
      <c r="E2" s="13">
        <v>45228</v>
      </c>
      <c r="F2" s="13">
        <v>45319</v>
      </c>
      <c r="G2" s="13">
        <v>45410</v>
      </c>
      <c r="H2" s="13">
        <v>45501</v>
      </c>
      <c r="I2" s="13">
        <v>45592</v>
      </c>
      <c r="J2" s="13">
        <v>45690</v>
      </c>
      <c r="K2" s="13">
        <v>45781</v>
      </c>
      <c r="L2" s="13"/>
      <c r="M2" s="13"/>
      <c r="N2" s="13"/>
      <c r="R2" s="12">
        <v>44954</v>
      </c>
      <c r="S2" s="12">
        <f>+F2</f>
        <v>45319</v>
      </c>
      <c r="T2" s="13">
        <f>+J2</f>
        <v>45690</v>
      </c>
      <c r="U2" s="13">
        <f t="shared" ref="U2:AC2" si="0">+T2+365</f>
        <v>46055</v>
      </c>
      <c r="V2" s="13">
        <f t="shared" si="0"/>
        <v>46420</v>
      </c>
      <c r="W2" s="13">
        <f t="shared" si="0"/>
        <v>46785</v>
      </c>
      <c r="X2" s="13">
        <f t="shared" si="0"/>
        <v>47150</v>
      </c>
      <c r="Y2" s="13">
        <f t="shared" si="0"/>
        <v>47515</v>
      </c>
      <c r="Z2" s="13">
        <f t="shared" si="0"/>
        <v>47880</v>
      </c>
      <c r="AA2" s="13">
        <f t="shared" si="0"/>
        <v>48245</v>
      </c>
      <c r="AB2" s="13">
        <f t="shared" si="0"/>
        <v>48610</v>
      </c>
      <c r="AC2" s="13">
        <f t="shared" si="0"/>
        <v>48975</v>
      </c>
    </row>
    <row r="3" spans="1:29" x14ac:dyDescent="0.2">
      <c r="C3" s="3" t="s">
        <v>16</v>
      </c>
      <c r="D3" s="3" t="s">
        <v>17</v>
      </c>
      <c r="E3" s="3" t="s">
        <v>18</v>
      </c>
      <c r="F3" s="3" t="s">
        <v>19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6</v>
      </c>
      <c r="L3" s="3" t="s">
        <v>13</v>
      </c>
      <c r="M3" s="3" t="s">
        <v>14</v>
      </c>
      <c r="N3" s="3" t="s">
        <v>15</v>
      </c>
      <c r="R3" s="3" t="s">
        <v>44</v>
      </c>
      <c r="S3" s="3" t="s">
        <v>36</v>
      </c>
      <c r="T3" s="3" t="s">
        <v>33</v>
      </c>
      <c r="U3" s="3" t="s">
        <v>34</v>
      </c>
      <c r="V3" s="3" t="s">
        <v>35</v>
      </c>
      <c r="W3" s="3" t="s">
        <v>37</v>
      </c>
      <c r="X3" s="3" t="s">
        <v>38</v>
      </c>
      <c r="Y3" s="3" t="s">
        <v>39</v>
      </c>
      <c r="Z3" s="3" t="s">
        <v>40</v>
      </c>
      <c r="AA3" s="3" t="s">
        <v>41</v>
      </c>
      <c r="AB3" s="3" t="s">
        <v>42</v>
      </c>
      <c r="AC3" s="3" t="s">
        <v>43</v>
      </c>
    </row>
    <row r="4" spans="1:29" s="7" customFormat="1" x14ac:dyDescent="0.2">
      <c r="B4" s="7" t="s">
        <v>8</v>
      </c>
      <c r="C4" s="8">
        <v>2790.6390000000001</v>
      </c>
      <c r="D4" s="8">
        <v>2785.3020000000001</v>
      </c>
      <c r="E4" s="8">
        <v>2745.875</v>
      </c>
      <c r="F4" s="8">
        <v>2825.904</v>
      </c>
      <c r="G4" s="8">
        <v>2877.7</v>
      </c>
      <c r="H4" s="8">
        <v>2858.5889999999999</v>
      </c>
      <c r="I4" s="8">
        <v>2877.6350000000002</v>
      </c>
      <c r="J4" s="8">
        <v>3247.386</v>
      </c>
      <c r="K4" s="8">
        <v>3116</v>
      </c>
      <c r="L4" s="8"/>
      <c r="M4" s="8"/>
      <c r="N4" s="8"/>
      <c r="R4" s="7">
        <v>10119</v>
      </c>
      <c r="S4" s="7">
        <f>SUM(C4:F4)</f>
        <v>11147.720000000001</v>
      </c>
      <c r="T4" s="8">
        <f>SUM(G4:J4)</f>
        <v>11861.31</v>
      </c>
      <c r="U4" s="8"/>
      <c r="V4" s="8"/>
      <c r="W4" s="8"/>
      <c r="X4" s="8"/>
      <c r="Y4" s="8"/>
      <c r="Z4" s="8"/>
      <c r="AA4" s="8"/>
      <c r="AB4" s="8"/>
      <c r="AC4" s="8"/>
    </row>
    <row r="5" spans="1:29" s="2" customFormat="1" x14ac:dyDescent="0.2">
      <c r="B5" s="2" t="s">
        <v>21</v>
      </c>
      <c r="C5" s="4">
        <v>1997.7829999999999</v>
      </c>
      <c r="D5" s="4">
        <v>1996.5809999999999</v>
      </c>
      <c r="E5" s="4">
        <v>2027.819</v>
      </c>
      <c r="F5" s="4">
        <v>2027.819</v>
      </c>
      <c r="G5" s="4">
        <v>2023.7</v>
      </c>
      <c r="H5" s="4">
        <v>2014.7529999999999</v>
      </c>
      <c r="I5" s="4">
        <v>2033.7619999999999</v>
      </c>
      <c r="J5" s="4">
        <v>2321.3829999999998</v>
      </c>
      <c r="K5" s="4">
        <v>2192.1999999999998</v>
      </c>
      <c r="L5" s="4"/>
      <c r="M5" s="4"/>
      <c r="N5" s="4"/>
      <c r="R5" s="2">
        <v>7284.5050000000001</v>
      </c>
      <c r="S5" s="2">
        <v>7986.2020000000002</v>
      </c>
      <c r="T5" s="4">
        <v>8393.6309999999994</v>
      </c>
      <c r="U5" s="4"/>
      <c r="V5" s="4"/>
      <c r="W5" s="4"/>
      <c r="X5" s="4"/>
      <c r="Y5" s="4"/>
      <c r="Z5" s="4"/>
      <c r="AA5" s="4"/>
      <c r="AB5" s="4"/>
      <c r="AC5" s="4"/>
    </row>
    <row r="6" spans="1:29" s="2" customFormat="1" x14ac:dyDescent="0.2">
      <c r="B6" s="2" t="s">
        <v>20</v>
      </c>
      <c r="C6" s="4">
        <f t="shared" ref="C6" si="1">+C4-C5</f>
        <v>792.85600000000022</v>
      </c>
      <c r="D6" s="4">
        <f t="shared" ref="D6:G6" si="2">+D4-D5</f>
        <v>788.72100000000023</v>
      </c>
      <c r="E6" s="4">
        <f t="shared" si="2"/>
        <v>718.05600000000004</v>
      </c>
      <c r="F6" s="4">
        <f t="shared" si="2"/>
        <v>798.08500000000004</v>
      </c>
      <c r="G6" s="4">
        <f t="shared" si="2"/>
        <v>853.99999999999977</v>
      </c>
      <c r="H6" s="4">
        <f>+H4-H5</f>
        <v>843.83600000000001</v>
      </c>
      <c r="I6" s="4">
        <f>+I4-I5</f>
        <v>843.87300000000027</v>
      </c>
      <c r="J6" s="4">
        <f>+J4-J5</f>
        <v>926.00300000000016</v>
      </c>
      <c r="K6" s="4">
        <f>+K4-K5</f>
        <v>923.80000000000018</v>
      </c>
      <c r="L6" s="4"/>
      <c r="M6" s="4"/>
      <c r="N6" s="4"/>
      <c r="R6" s="4">
        <f t="shared" ref="R6:S6" si="3">+R4-R5</f>
        <v>2834.4949999999999</v>
      </c>
      <c r="S6" s="4">
        <f t="shared" si="3"/>
        <v>3161.5180000000009</v>
      </c>
      <c r="T6" s="4">
        <f>+T4-T5</f>
        <v>3467.6790000000001</v>
      </c>
      <c r="U6" s="4"/>
      <c r="V6" s="4"/>
      <c r="W6" s="4"/>
      <c r="X6" s="4"/>
      <c r="Y6" s="4"/>
      <c r="Z6" s="4"/>
      <c r="AA6" s="4"/>
      <c r="AB6" s="4"/>
      <c r="AC6" s="4"/>
    </row>
    <row r="7" spans="1:29" s="2" customFormat="1" x14ac:dyDescent="0.2">
      <c r="B7" s="2" t="s">
        <v>24</v>
      </c>
      <c r="C7" s="4">
        <v>584.38900000000001</v>
      </c>
      <c r="D7" s="4">
        <v>619.88900000000001</v>
      </c>
      <c r="E7" s="4">
        <v>626.03</v>
      </c>
      <c r="F7" s="4">
        <v>626.03</v>
      </c>
      <c r="G7" s="4">
        <v>602.6</v>
      </c>
      <c r="H7" s="4">
        <v>621.26700000000005</v>
      </c>
      <c r="I7" s="4">
        <v>626.471</v>
      </c>
      <c r="J7" s="4">
        <v>700.70500000000004</v>
      </c>
      <c r="K7" s="4">
        <v>653.1</v>
      </c>
      <c r="L7" s="4"/>
      <c r="M7" s="4"/>
      <c r="N7" s="4"/>
      <c r="R7" s="2">
        <v>2128.6880000000001</v>
      </c>
      <c r="S7" s="2">
        <v>2442.683</v>
      </c>
      <c r="T7" s="4">
        <v>2551.0039999999999</v>
      </c>
      <c r="U7" s="4"/>
      <c r="V7" s="4"/>
      <c r="W7" s="4"/>
      <c r="X7" s="4"/>
      <c r="Y7" s="4"/>
      <c r="Z7" s="4"/>
      <c r="AA7" s="4"/>
      <c r="AB7" s="4"/>
      <c r="AC7" s="4"/>
    </row>
    <row r="8" spans="1:29" s="2" customFormat="1" x14ac:dyDescent="0.2">
      <c r="B8" s="2" t="s">
        <v>25</v>
      </c>
      <c r="C8" s="4">
        <v>183.733</v>
      </c>
      <c r="D8" s="4">
        <v>185.49100000000001</v>
      </c>
      <c r="E8" s="4">
        <v>194.036</v>
      </c>
      <c r="F8" s="4">
        <v>194.036</v>
      </c>
      <c r="G8" s="4">
        <v>168.8</v>
      </c>
      <c r="H8" s="4">
        <v>190.518</v>
      </c>
      <c r="I8" s="4">
        <v>191.77</v>
      </c>
      <c r="J8" s="4">
        <v>235.01</v>
      </c>
      <c r="K8" s="4">
        <v>193.8</v>
      </c>
      <c r="L8" s="4"/>
      <c r="M8" s="4"/>
      <c r="N8" s="4"/>
      <c r="R8" s="2">
        <v>649.38599999999997</v>
      </c>
      <c r="S8" s="2">
        <v>742.46</v>
      </c>
      <c r="T8" s="4">
        <v>804.11300000000006</v>
      </c>
      <c r="U8" s="4"/>
      <c r="V8" s="4"/>
      <c r="W8" s="4"/>
      <c r="X8" s="4"/>
      <c r="Y8" s="4"/>
      <c r="Z8" s="4"/>
      <c r="AA8" s="4"/>
      <c r="AB8" s="4"/>
      <c r="AC8" s="4"/>
    </row>
    <row r="9" spans="1:29" s="2" customFormat="1" x14ac:dyDescent="0.2">
      <c r="B9" s="2" t="s">
        <v>22</v>
      </c>
      <c r="C9" s="4">
        <f t="shared" ref="C9" si="4">+C7+C8</f>
        <v>768.12200000000007</v>
      </c>
      <c r="D9" s="4">
        <f t="shared" ref="D9:G9" si="5">+D7+D8</f>
        <v>805.38</v>
      </c>
      <c r="E9" s="4">
        <f t="shared" si="5"/>
        <v>820.06600000000003</v>
      </c>
      <c r="F9" s="4">
        <f t="shared" si="5"/>
        <v>820.06600000000003</v>
      </c>
      <c r="G9" s="4">
        <f t="shared" si="5"/>
        <v>771.40000000000009</v>
      </c>
      <c r="H9" s="4">
        <f>+H7+H8</f>
        <v>811.78500000000008</v>
      </c>
      <c r="I9" s="4">
        <f>+I7+I8</f>
        <v>818.24099999999999</v>
      </c>
      <c r="J9" s="4">
        <f>+J7+J8</f>
        <v>935.71500000000003</v>
      </c>
      <c r="K9" s="4">
        <f>+K7+K8</f>
        <v>846.90000000000009</v>
      </c>
      <c r="L9" s="4"/>
      <c r="M9" s="4"/>
      <c r="N9" s="4"/>
      <c r="R9" s="4">
        <f t="shared" ref="R9:S9" si="6">+R7+R8</f>
        <v>2778.0740000000001</v>
      </c>
      <c r="S9" s="4">
        <f t="shared" si="6"/>
        <v>3185.143</v>
      </c>
      <c r="T9" s="4">
        <f>+T7+T8</f>
        <v>3355.1170000000002</v>
      </c>
      <c r="U9" s="4"/>
      <c r="V9" s="4"/>
      <c r="W9" s="4"/>
      <c r="X9" s="4"/>
      <c r="Y9" s="4"/>
      <c r="Z9" s="4"/>
      <c r="AA9" s="4"/>
      <c r="AB9" s="4"/>
      <c r="AC9" s="4"/>
    </row>
    <row r="10" spans="1:29" s="2" customFormat="1" x14ac:dyDescent="0.2">
      <c r="B10" s="2" t="s">
        <v>23</v>
      </c>
      <c r="C10" s="4">
        <f t="shared" ref="C10" si="7">+C6-C9</f>
        <v>24.734000000000151</v>
      </c>
      <c r="D10" s="4">
        <f t="shared" ref="D10:G10" si="8">+D6-D9</f>
        <v>-16.658999999999764</v>
      </c>
      <c r="E10" s="4">
        <f t="shared" si="8"/>
        <v>-102.00999999999999</v>
      </c>
      <c r="F10" s="4">
        <f t="shared" si="8"/>
        <v>-21.980999999999995</v>
      </c>
      <c r="G10" s="4">
        <f t="shared" si="8"/>
        <v>82.599999999999682</v>
      </c>
      <c r="H10" s="4">
        <f>+H6-H9</f>
        <v>32.050999999999931</v>
      </c>
      <c r="I10" s="4">
        <f>+I6-I9</f>
        <v>25.632000000000289</v>
      </c>
      <c r="J10" s="4">
        <f>+J6-J9</f>
        <v>-9.7119999999998754</v>
      </c>
      <c r="K10" s="4">
        <f>+K6-K9</f>
        <v>76.900000000000091</v>
      </c>
      <c r="L10" s="4"/>
      <c r="M10" s="4"/>
      <c r="N10" s="4"/>
      <c r="R10" s="4">
        <f t="shared" ref="R10:S10" si="9">+R6-R9</f>
        <v>56.420999999999822</v>
      </c>
      <c r="S10" s="4">
        <f t="shared" si="9"/>
        <v>-23.624999999999091</v>
      </c>
      <c r="T10" s="4">
        <f>+T6-T9</f>
        <v>112.5619999999999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s="2" customFormat="1" x14ac:dyDescent="0.2">
      <c r="B11" s="2" t="s">
        <v>29</v>
      </c>
      <c r="C11" s="4">
        <f>8.016-8.888</f>
        <v>-0.87199999999999989</v>
      </c>
      <c r="D11" s="4">
        <f>8.928+29.242</f>
        <v>38.17</v>
      </c>
      <c r="E11" s="4">
        <f>31.384+27.122</f>
        <v>58.506</v>
      </c>
      <c r="F11" s="4">
        <f>31.384+27.122</f>
        <v>58.506</v>
      </c>
      <c r="G11" s="4">
        <v>13.8</v>
      </c>
      <c r="H11" s="4">
        <f>12.921+1.541</f>
        <v>14.462</v>
      </c>
      <c r="I11" s="4">
        <f>3.901-0.036</f>
        <v>3.8649999999999998</v>
      </c>
      <c r="J11" s="4">
        <f>3.723+3.292</f>
        <v>7.0149999999999997</v>
      </c>
      <c r="K11" s="4">
        <v>1</v>
      </c>
      <c r="L11" s="4"/>
      <c r="M11" s="4"/>
      <c r="N11" s="4"/>
      <c r="R11" s="2">
        <f>9.29-13.166</f>
        <v>-3.8760000000000012</v>
      </c>
      <c r="S11" s="2">
        <f>SUM(C11:F11)</f>
        <v>154.31</v>
      </c>
      <c r="T11" s="4">
        <f>SUM(G11:J11)</f>
        <v>39.142000000000003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s="2" customFormat="1" x14ac:dyDescent="0.2">
      <c r="B12" s="2" t="s">
        <v>28</v>
      </c>
      <c r="C12" s="4">
        <f t="shared" ref="C12" si="10">+C10+C11</f>
        <v>23.862000000000151</v>
      </c>
      <c r="D12" s="4">
        <f t="shared" ref="D12:K12" si="11">+D10+D11</f>
        <v>21.511000000000237</v>
      </c>
      <c r="E12" s="4">
        <f t="shared" si="11"/>
        <v>-43.503999999999991</v>
      </c>
      <c r="F12" s="4">
        <f t="shared" si="11"/>
        <v>36.525000000000006</v>
      </c>
      <c r="G12" s="4">
        <f t="shared" si="11"/>
        <v>96.399999999999679</v>
      </c>
      <c r="H12" s="4">
        <f t="shared" si="11"/>
        <v>46.512999999999934</v>
      </c>
      <c r="I12" s="4">
        <f t="shared" si="11"/>
        <v>29.497000000000288</v>
      </c>
      <c r="J12" s="4">
        <f t="shared" si="11"/>
        <v>-2.6969999999998757</v>
      </c>
      <c r="K12" s="4">
        <f t="shared" si="11"/>
        <v>77.900000000000091</v>
      </c>
      <c r="L12" s="4"/>
      <c r="M12" s="4"/>
      <c r="N12" s="4"/>
      <c r="R12" s="4">
        <f t="shared" ref="R12:S12" si="12">+R10+R11</f>
        <v>52.544999999999817</v>
      </c>
      <c r="S12" s="4">
        <f t="shared" si="12"/>
        <v>130.68500000000091</v>
      </c>
      <c r="T12" s="4">
        <f>+T10+T11</f>
        <v>151.70399999999989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s="2" customFormat="1" x14ac:dyDescent="0.2">
      <c r="B13" s="2" t="s">
        <v>27</v>
      </c>
      <c r="C13" s="4">
        <v>1.0029999999999999</v>
      </c>
      <c r="D13" s="4">
        <v>1.304</v>
      </c>
      <c r="E13" s="4">
        <v>4.6390000000000002</v>
      </c>
      <c r="F13" s="4">
        <v>4.6390000000000002</v>
      </c>
      <c r="G13" s="4">
        <v>11.5</v>
      </c>
      <c r="H13" s="4">
        <v>0</v>
      </c>
      <c r="I13" s="4">
        <v>25.565000000000001</v>
      </c>
      <c r="J13" s="4">
        <v>-25.489000000000001</v>
      </c>
      <c r="K13" s="4">
        <v>15.5</v>
      </c>
      <c r="L13" s="4"/>
      <c r="M13" s="4"/>
      <c r="N13" s="4"/>
      <c r="R13" s="2">
        <v>2.6459999999999999</v>
      </c>
      <c r="S13" s="2">
        <f>SUM(C13:F13)</f>
        <v>11.585000000000001</v>
      </c>
      <c r="T13" s="4">
        <f>SUM(G13:J13)</f>
        <v>11.575999999999997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29" s="2" customFormat="1" x14ac:dyDescent="0.2">
      <c r="B14" s="2" t="s">
        <v>26</v>
      </c>
      <c r="C14" s="4">
        <f t="shared" ref="C14" si="13">+C12-C13</f>
        <v>22.859000000000151</v>
      </c>
      <c r="D14" s="4">
        <f>+D12-D13</f>
        <v>20.207000000000239</v>
      </c>
      <c r="E14" s="4">
        <f>+E12-E13</f>
        <v>-48.142999999999994</v>
      </c>
      <c r="F14" s="4">
        <f>+F12-F13</f>
        <v>31.886000000000006</v>
      </c>
      <c r="G14" s="4">
        <f>+G12-G13</f>
        <v>84.899999999999679</v>
      </c>
      <c r="H14" s="4">
        <f t="shared" ref="H14:K14" si="14">+H12-H13</f>
        <v>46.512999999999934</v>
      </c>
      <c r="I14" s="4">
        <f t="shared" si="14"/>
        <v>3.9320000000002864</v>
      </c>
      <c r="J14" s="4">
        <f t="shared" si="14"/>
        <v>22.792000000000126</v>
      </c>
      <c r="K14" s="4">
        <f t="shared" si="14"/>
        <v>62.400000000000091</v>
      </c>
      <c r="L14" s="4"/>
      <c r="M14" s="4"/>
      <c r="N14" s="4"/>
      <c r="R14" s="4">
        <f t="shared" ref="R14:S14" si="15">+R12-R13</f>
        <v>49.898999999999816</v>
      </c>
      <c r="S14" s="4">
        <f t="shared" si="15"/>
        <v>119.1000000000009</v>
      </c>
      <c r="T14" s="4">
        <f>+T12-T13</f>
        <v>140.1279999999999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B15" s="1" t="s">
        <v>30</v>
      </c>
      <c r="C15" s="5">
        <f t="shared" ref="C15" si="16">+C14/C16</f>
        <v>5.3102299574187696E-2</v>
      </c>
      <c r="D15" s="5">
        <f t="shared" ref="D15:K15" si="17">+D14/D16</f>
        <v>4.6821417316996863E-2</v>
      </c>
      <c r="E15" s="5">
        <f t="shared" si="17"/>
        <v>-0.11094339796562673</v>
      </c>
      <c r="F15" s="5">
        <f t="shared" si="17"/>
        <v>7.3479865972871969E-2</v>
      </c>
      <c r="G15" s="5">
        <f t="shared" si="17"/>
        <v>0.19454628780934849</v>
      </c>
      <c r="H15" s="5">
        <f t="shared" si="17"/>
        <v>0.10622268099624999</v>
      </c>
      <c r="I15" s="5">
        <f t="shared" si="17"/>
        <v>9.2176701705697656E-3</v>
      </c>
      <c r="J15" s="5">
        <f t="shared" si="17"/>
        <v>5.3738874152667551E-2</v>
      </c>
      <c r="K15" s="5">
        <f t="shared" si="17"/>
        <v>0.14671996237949703</v>
      </c>
      <c r="R15" s="5">
        <f t="shared" ref="R15:T15" si="18">+R14/R16</f>
        <v>0.11664913388035585</v>
      </c>
      <c r="S15" s="5">
        <f t="shared" si="18"/>
        <v>0.27617727520161328</v>
      </c>
      <c r="T15" s="5">
        <f t="shared" si="18"/>
        <v>0.32948036679990572</v>
      </c>
    </row>
    <row r="16" spans="1:29" s="2" customFormat="1" x14ac:dyDescent="0.2">
      <c r="B16" s="2" t="s">
        <v>1</v>
      </c>
      <c r="C16" s="4">
        <v>430.471</v>
      </c>
      <c r="D16" s="4">
        <v>431.57600000000002</v>
      </c>
      <c r="E16" s="4">
        <v>433.94200000000001</v>
      </c>
      <c r="F16" s="4">
        <v>433.94200000000001</v>
      </c>
      <c r="G16" s="4">
        <v>436.4</v>
      </c>
      <c r="H16" s="4">
        <v>437.88200000000001</v>
      </c>
      <c r="I16" s="4">
        <v>426.572</v>
      </c>
      <c r="J16" s="4">
        <v>424.125</v>
      </c>
      <c r="K16" s="4">
        <v>425.3</v>
      </c>
      <c r="L16" s="4"/>
      <c r="M16" s="4"/>
      <c r="N16" s="4"/>
      <c r="R16" s="2">
        <v>427.77</v>
      </c>
      <c r="S16" s="2">
        <f>AVERAGE(G16:J16)</f>
        <v>431.24474999999995</v>
      </c>
      <c r="T16" s="4">
        <f>AVERAGE(K16:N16)</f>
        <v>425.3</v>
      </c>
      <c r="U16" s="4"/>
      <c r="V16" s="4"/>
      <c r="W16" s="4"/>
      <c r="X16" s="4"/>
      <c r="Y16" s="4"/>
      <c r="Z16" s="4"/>
      <c r="AA16" s="4"/>
      <c r="AB16" s="4"/>
      <c r="AC16" s="4"/>
    </row>
    <row r="18" spans="2:29" s="9" customFormat="1" x14ac:dyDescent="0.2">
      <c r="B18" s="9" t="s">
        <v>31</v>
      </c>
      <c r="C18" s="10"/>
      <c r="D18" s="10"/>
      <c r="E18" s="10"/>
      <c r="F18" s="10"/>
      <c r="G18" s="11">
        <f>+G4/C4-1</f>
        <v>3.1197514261070536E-2</v>
      </c>
      <c r="H18" s="11">
        <f>+H4/D4-1</f>
        <v>2.6312048029262014E-2</v>
      </c>
      <c r="I18" s="11">
        <f>+I4/E4-1</f>
        <v>4.7984704329221195E-2</v>
      </c>
      <c r="J18" s="11">
        <f>+J4/F4-1</f>
        <v>0.14914944032069033</v>
      </c>
      <c r="K18" s="11">
        <f>+K4/G4-1</f>
        <v>8.2809187893109204E-2</v>
      </c>
      <c r="L18" s="10"/>
      <c r="M18" s="10"/>
      <c r="N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2:29" x14ac:dyDescent="0.2">
      <c r="B19" s="1" t="s">
        <v>32</v>
      </c>
      <c r="C19" s="6">
        <f t="shared" ref="C19:D19" si="19">+C6/C4</f>
        <v>0.28411270680299394</v>
      </c>
      <c r="D19" s="6">
        <f t="shared" si="19"/>
        <v>0.28317252491830336</v>
      </c>
      <c r="E19" s="6">
        <f t="shared" ref="E19:J19" si="20">+E6/E4</f>
        <v>0.26150352801930171</v>
      </c>
      <c r="F19" s="6">
        <f t="shared" si="20"/>
        <v>0.28241759097265867</v>
      </c>
      <c r="G19" s="6">
        <f t="shared" si="20"/>
        <v>0.29676477742641688</v>
      </c>
      <c r="H19" s="6">
        <f t="shared" si="20"/>
        <v>0.29519318796791005</v>
      </c>
      <c r="I19" s="6">
        <f t="shared" si="20"/>
        <v>0.29325227139647669</v>
      </c>
      <c r="J19" s="6">
        <f t="shared" si="20"/>
        <v>0.2851533510337238</v>
      </c>
      <c r="K19" s="6">
        <f>+K6/K4</f>
        <v>0.29646983311938391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2025-07-14T14:16:52Z</dcterms:created>
  <dcterms:modified xsi:type="dcterms:W3CDTF">2025-10-08T13:49:55Z</dcterms:modified>
</cp:coreProperties>
</file>