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69F9E0C-7757-496D-9E8C-91EE244B7CDF}" xr6:coauthVersionLast="47" xr6:coauthVersionMax="47" xr10:uidLastSave="{00000000-0000-0000-0000-000000000000}"/>
  <bookViews>
    <workbookView xWindow="-120" yWindow="-120" windowWidth="51840" windowHeight="21240" activeTab="1" xr2:uid="{4C9B1A2C-6C00-B84C-96C0-62D9E46141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2" l="1"/>
  <c r="W28" i="2" s="1"/>
  <c r="X28" i="2" s="1"/>
  <c r="Y28" i="2" s="1"/>
  <c r="Z28" i="2" s="1"/>
  <c r="AA28" i="2" s="1"/>
  <c r="Q28" i="2"/>
  <c r="R28" i="2" s="1"/>
  <c r="Q32" i="2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Q31" i="2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Q40" i="2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P30" i="2"/>
  <c r="P43" i="2" s="1"/>
  <c r="P33" i="2"/>
  <c r="J33" i="2"/>
  <c r="I33" i="2"/>
  <c r="J30" i="2"/>
  <c r="I30" i="2"/>
  <c r="M78" i="2"/>
  <c r="N78" i="2"/>
  <c r="O78" i="2"/>
  <c r="O25" i="2"/>
  <c r="N25" i="2"/>
  <c r="M25" i="2"/>
  <c r="O42" i="2"/>
  <c r="N42" i="2"/>
  <c r="O33" i="2"/>
  <c r="N33" i="2"/>
  <c r="M33" i="2"/>
  <c r="O30" i="2"/>
  <c r="O43" i="2" s="1"/>
  <c r="N30" i="2"/>
  <c r="N43" i="2" s="1"/>
  <c r="M30" i="2"/>
  <c r="M43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H64" i="2"/>
  <c r="H60" i="2"/>
  <c r="H51" i="2"/>
  <c r="H46" i="2"/>
  <c r="G64" i="2"/>
  <c r="G60" i="2"/>
  <c r="G51" i="2"/>
  <c r="G46" i="2"/>
  <c r="G74" i="2"/>
  <c r="G75" i="2" s="1"/>
  <c r="C33" i="2"/>
  <c r="C30" i="2"/>
  <c r="C43" i="2" s="1"/>
  <c r="G42" i="2"/>
  <c r="G33" i="2"/>
  <c r="G30" i="2"/>
  <c r="G43" i="2" s="1"/>
  <c r="H42" i="2"/>
  <c r="D33" i="2"/>
  <c r="H33" i="2"/>
  <c r="H30" i="2"/>
  <c r="D30" i="2"/>
  <c r="D43" i="2" s="1"/>
  <c r="J4" i="1"/>
  <c r="J7" i="1" s="1"/>
  <c r="S28" i="2" l="1"/>
  <c r="I34" i="2"/>
  <c r="I36" i="2" s="1"/>
  <c r="I38" i="2" s="1"/>
  <c r="J34" i="2"/>
  <c r="J36" i="2" s="1"/>
  <c r="J38" i="2" s="1"/>
  <c r="P34" i="2"/>
  <c r="P36" i="2" s="1"/>
  <c r="P38" i="2" s="1"/>
  <c r="P39" i="2" s="1"/>
  <c r="M34" i="2"/>
  <c r="M36" i="2" s="1"/>
  <c r="M38" i="2" s="1"/>
  <c r="M39" i="2" s="1"/>
  <c r="N34" i="2"/>
  <c r="N36" i="2" s="1"/>
  <c r="N38" i="2" s="1"/>
  <c r="N39" i="2" s="1"/>
  <c r="O34" i="2"/>
  <c r="O36" i="2" s="1"/>
  <c r="O38" i="2" s="1"/>
  <c r="O39" i="2" s="1"/>
  <c r="P29" i="2"/>
  <c r="Q33" i="2"/>
  <c r="R33" i="2"/>
  <c r="S30" i="2"/>
  <c r="S29" i="2" s="1"/>
  <c r="T28" i="2"/>
  <c r="U28" i="2" s="1"/>
  <c r="R30" i="2"/>
  <c r="R29" i="2" s="1"/>
  <c r="S33" i="2"/>
  <c r="T30" i="2"/>
  <c r="T29" i="2" s="1"/>
  <c r="Q30" i="2"/>
  <c r="Q34" i="2" s="1"/>
  <c r="G45" i="2"/>
  <c r="G65" i="2"/>
  <c r="H65" i="2"/>
  <c r="H45" i="2"/>
  <c r="I45" i="2" s="1"/>
  <c r="J45" i="2" s="1"/>
  <c r="O45" i="2" s="1"/>
  <c r="H54" i="2"/>
  <c r="G54" i="2"/>
  <c r="H34" i="2"/>
  <c r="H36" i="2" s="1"/>
  <c r="H38" i="2" s="1"/>
  <c r="H67" i="2" s="1"/>
  <c r="H43" i="2"/>
  <c r="D34" i="2"/>
  <c r="D36" i="2" s="1"/>
  <c r="D38" i="2" s="1"/>
  <c r="C34" i="2"/>
  <c r="C36" i="2" s="1"/>
  <c r="C38" i="2" s="1"/>
  <c r="G34" i="2"/>
  <c r="G36" i="2" s="1"/>
  <c r="G38" i="2" s="1"/>
  <c r="G67" i="2" s="1"/>
  <c r="S34" i="2" l="1"/>
  <c r="R34" i="2"/>
  <c r="P45" i="2"/>
  <c r="Q35" i="2" s="1"/>
  <c r="T33" i="2"/>
  <c r="T34" i="2" s="1"/>
  <c r="Q36" i="2"/>
  <c r="Q29" i="2"/>
  <c r="U30" i="2" l="1"/>
  <c r="U29" i="2" s="1"/>
  <c r="U33" i="2"/>
  <c r="Q37" i="2"/>
  <c r="Q38" i="2" s="1"/>
  <c r="V30" i="2"/>
  <c r="V29" i="2" s="1"/>
  <c r="U34" i="2" l="1"/>
  <c r="V33" i="2"/>
  <c r="Q45" i="2"/>
  <c r="R35" i="2" s="1"/>
  <c r="R36" i="2" s="1"/>
  <c r="R37" i="2" s="1"/>
  <c r="R38" i="2" s="1"/>
  <c r="R39" i="2" s="1"/>
  <c r="Q39" i="2"/>
  <c r="V34" i="2"/>
  <c r="W30" i="2"/>
  <c r="W29" i="2" s="1"/>
  <c r="R45" i="2" l="1"/>
  <c r="S35" i="2" s="1"/>
  <c r="S36" i="2" s="1"/>
  <c r="S37" i="2" s="1"/>
  <c r="S38" i="2" s="1"/>
  <c r="W33" i="2"/>
  <c r="W34" i="2" s="1"/>
  <c r="X30" i="2"/>
  <c r="X29" i="2" s="1"/>
  <c r="X33" i="2" l="1"/>
  <c r="S39" i="2"/>
  <c r="S45" i="2"/>
  <c r="T35" i="2" s="1"/>
  <c r="T36" i="2" s="1"/>
  <c r="X34" i="2"/>
  <c r="Y30" i="2"/>
  <c r="Y29" i="2" s="1"/>
  <c r="Y33" i="2" l="1"/>
  <c r="T37" i="2"/>
  <c r="T38" i="2" s="1"/>
  <c r="Z30" i="2"/>
  <c r="Z29" i="2" s="1"/>
  <c r="Y34" i="2"/>
  <c r="AA33" i="2" l="1"/>
  <c r="Z33" i="2"/>
  <c r="T39" i="2"/>
  <c r="T45" i="2"/>
  <c r="U35" i="2" s="1"/>
  <c r="U36" i="2" s="1"/>
  <c r="Z34" i="2"/>
  <c r="AA30" i="2" l="1"/>
  <c r="AA29" i="2" s="1"/>
  <c r="U37" i="2"/>
  <c r="U38" i="2" s="1"/>
  <c r="AA34" i="2" l="1"/>
  <c r="U39" i="2"/>
  <c r="U45" i="2"/>
  <c r="V35" i="2" s="1"/>
  <c r="V36" i="2" s="1"/>
  <c r="V37" i="2" l="1"/>
  <c r="V38" i="2" s="1"/>
  <c r="V39" i="2" l="1"/>
  <c r="V45" i="2"/>
  <c r="W35" i="2" s="1"/>
  <c r="W36" i="2" s="1"/>
  <c r="W37" i="2" l="1"/>
  <c r="W38" i="2" s="1"/>
  <c r="W39" i="2" l="1"/>
  <c r="W45" i="2"/>
  <c r="X35" i="2" s="1"/>
  <c r="X36" i="2" s="1"/>
  <c r="X37" i="2" l="1"/>
  <c r="X38" i="2" s="1"/>
  <c r="X39" i="2" l="1"/>
  <c r="X45" i="2"/>
  <c r="Y35" i="2" s="1"/>
  <c r="Y36" i="2" s="1"/>
  <c r="Y37" i="2" l="1"/>
  <c r="Y38" i="2" s="1"/>
  <c r="Y39" i="2" l="1"/>
  <c r="Y45" i="2"/>
  <c r="Z35" i="2" s="1"/>
  <c r="Z36" i="2" s="1"/>
  <c r="Z37" i="2" l="1"/>
  <c r="Z38" i="2" s="1"/>
  <c r="Z39" i="2" l="1"/>
  <c r="Z45" i="2"/>
  <c r="AA35" i="2" s="1"/>
  <c r="AA36" i="2" s="1"/>
  <c r="AA37" i="2" l="1"/>
  <c r="AA38" i="2" s="1"/>
  <c r="AA39" i="2" l="1"/>
  <c r="AB38" i="2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AA45" i="2"/>
  <c r="AD46" i="2" l="1"/>
  <c r="AD47" i="2" s="1"/>
  <c r="AD48" i="2" s="1"/>
</calcChain>
</file>

<file path=xl/sharedStrings.xml><?xml version="1.0" encoding="utf-8"?>
<sst xmlns="http://schemas.openxmlformats.org/spreadsheetml/2006/main" count="124" uniqueCount="111">
  <si>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</si>
  <si>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</si>
  <si>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</si>
  <si>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</si>
  <si>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</si>
  <si>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</si>
  <si>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</si>
  <si>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</si>
  <si>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</si>
  <si>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</si>
  <si>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</si>
  <si>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Q332</t>
  </si>
  <si>
    <t>Q423</t>
  </si>
  <si>
    <t>Q124</t>
  </si>
  <si>
    <t>Q324</t>
  </si>
  <si>
    <t>Q424</t>
  </si>
  <si>
    <t>Programming</t>
  </si>
  <si>
    <t>Gross Profit</t>
  </si>
  <si>
    <t>Operating Income</t>
  </si>
  <si>
    <t>Operating Expenses</t>
  </si>
  <si>
    <t>M&amp;P</t>
  </si>
  <si>
    <t>G&amp;A</t>
  </si>
  <si>
    <t>Interest Expense</t>
  </si>
  <si>
    <t>Pretax Income</t>
  </si>
  <si>
    <t>Taxes</t>
  </si>
  <si>
    <t>Net Income</t>
  </si>
  <si>
    <t>Revenue growth</t>
  </si>
  <si>
    <t>Gross Margin</t>
  </si>
  <si>
    <t>EPS</t>
  </si>
  <si>
    <t>CFFO</t>
  </si>
  <si>
    <t>Model NI</t>
  </si>
  <si>
    <t>Reported NI</t>
  </si>
  <si>
    <t>WC</t>
  </si>
  <si>
    <t>DT</t>
  </si>
  <si>
    <t>Gain of Investment</t>
  </si>
  <si>
    <t>Noncash Interest</t>
  </si>
  <si>
    <t>SBC</t>
  </si>
  <si>
    <t>D&amp;A</t>
  </si>
  <si>
    <t>Net Cash</t>
  </si>
  <si>
    <t>AR</t>
  </si>
  <si>
    <t>OCA</t>
  </si>
  <si>
    <t>Film</t>
  </si>
  <si>
    <t>PP&amp;E</t>
  </si>
  <si>
    <t>Goodwill</t>
  </si>
  <si>
    <t>Assets</t>
  </si>
  <si>
    <t>ONCA</t>
  </si>
  <si>
    <t>Franchise</t>
  </si>
  <si>
    <t>AP</t>
  </si>
  <si>
    <t>Participations</t>
  </si>
  <si>
    <t>DR</t>
  </si>
  <si>
    <t>AE</t>
  </si>
  <si>
    <t>Commitments</t>
  </si>
  <si>
    <t>S/E</t>
  </si>
  <si>
    <t>L+S/E</t>
  </si>
  <si>
    <t>Advance</t>
  </si>
  <si>
    <t>Domestic Broadband</t>
  </si>
  <si>
    <t>Domestic Wireless</t>
  </si>
  <si>
    <t>International Connectivity</t>
  </si>
  <si>
    <t>Video</t>
  </si>
  <si>
    <t>Advertising</t>
  </si>
  <si>
    <t>Other</t>
  </si>
  <si>
    <t>Eliminations</t>
  </si>
  <si>
    <t>Theme Parks</t>
  </si>
  <si>
    <t>Other Studios</t>
  </si>
  <si>
    <t>Theatrical</t>
  </si>
  <si>
    <t>Content licensing</t>
  </si>
  <si>
    <t>Other Media</t>
  </si>
  <si>
    <t>International Networks</t>
  </si>
  <si>
    <t>Domestic Media Distribution</t>
  </si>
  <si>
    <t>Domestic Advertising</t>
  </si>
  <si>
    <t>Business Services Connectivity</t>
  </si>
  <si>
    <t>USA Network</t>
  </si>
  <si>
    <t>General entertainment and sports</t>
  </si>
  <si>
    <t>Syfy</t>
  </si>
  <si>
    <t>Genre-based entertainment</t>
  </si>
  <si>
    <t>E!</t>
  </si>
  <si>
    <t>Entertainment and pop culture</t>
  </si>
  <si>
    <t>MSNBC</t>
  </si>
  <si>
    <t>News, political commentary and information</t>
  </si>
  <si>
    <t>Bravo</t>
  </si>
  <si>
    <t>Lifestyle entertainment</t>
  </si>
  <si>
    <t>CNBC</t>
  </si>
  <si>
    <t>Business and financial news</t>
  </si>
  <si>
    <t>Oxygen</t>
  </si>
  <si>
    <t>True crime</t>
  </si>
  <si>
    <t>Golf Channel</t>
  </si>
  <si>
    <t>Golf competition and golf entertainment</t>
  </si>
  <si>
    <t>Universal Kids</t>
  </si>
  <si>
    <t>Children’s entertainment</t>
  </si>
  <si>
    <t>Universo</t>
  </si>
  <si>
    <t>Spanish-language entertainment</t>
  </si>
  <si>
    <t>CNBC World</t>
  </si>
  <si>
    <t>Global financial news</t>
  </si>
  <si>
    <t>Domestic homes &amp; businesses passed</t>
  </si>
  <si>
    <t>FCF</t>
  </si>
  <si>
    <t>ROIC</t>
  </si>
  <si>
    <t>Discount</t>
  </si>
  <si>
    <t>NPV</t>
  </si>
  <si>
    <t>Maturity</t>
  </si>
  <si>
    <t>Share</t>
  </si>
  <si>
    <t>Total Connectivity/Platforms Customers</t>
  </si>
  <si>
    <t>Domestic Video</t>
  </si>
  <si>
    <t>Studios/Other Revenue</t>
  </si>
  <si>
    <r>
      <t>71</t>
    </r>
    <r>
      <rPr>
        <sz val="10"/>
        <color rgb="FF000000"/>
        <rFont val="Arial"/>
        <family val="2"/>
      </rPr>
      <t> </t>
    </r>
  </si>
  <si>
    <r>
      <t>70</t>
    </r>
    <r>
      <rPr>
        <sz val="10"/>
        <color rgb="FF000000"/>
        <rFont val="Arial"/>
        <family val="2"/>
      </rPr>
      <t> </t>
    </r>
  </si>
  <si>
    <r>
      <t>64</t>
    </r>
    <r>
      <rPr>
        <sz val="10"/>
        <color rgb="FF000000"/>
        <rFont val="Arial"/>
        <family val="2"/>
      </rPr>
      <t> </t>
    </r>
  </si>
  <si>
    <r>
      <t>59</t>
    </r>
    <r>
      <rPr>
        <sz val="10"/>
        <color rgb="FF000000"/>
        <rFont val="Arial"/>
        <family val="2"/>
      </rPr>
      <t> </t>
    </r>
  </si>
  <si>
    <r>
      <t>47</t>
    </r>
    <r>
      <rPr>
        <sz val="10"/>
        <color rgb="FF000000"/>
        <rFont val="Arial"/>
        <family val="2"/>
      </rPr>
      <t> </t>
    </r>
  </si>
  <si>
    <r>
      <t>21</t>
    </r>
    <r>
      <rPr>
        <sz val="10"/>
        <color rgb="FF000000"/>
        <rFont val="Arial"/>
        <family val="2"/>
      </rPr>
      <t> </t>
    </r>
  </si>
  <si>
    <r>
      <t>18</t>
    </r>
    <r>
      <rPr>
        <sz val="10"/>
        <color rgb="FF000000"/>
        <rFont val="Arial"/>
        <family val="2"/>
      </rPr>
      <t> </t>
    </r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</si>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</sst>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4" fontId="3" fillId="0" borderId="0" xfId="0" applyNumberFormat="1" applyFont="1"/>
    <xf numFmtId="9" fontId="3" fillId="0" borderId="0" xfId="0" applyNumberFormat="1" applyFont="1"/>
    <xf numFmtId="0" fontId="2" fillId="0" borderId="0" xfId="0" applyFont="1"/>
    <xf numFmtId="0" fontId="4" fillId="0" borderId="0" xfId="0" applyFont="1"/>
    <xf numFmtId="9" fontId="4" fillId="0" borderId="0" xfId="0" applyNumberFormat="1" applyFont="1"/>
    <xf numFmtId="4" fontId="4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1142B7-D861-4C7D-8ABF-025BB401A2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638174</xdr:colOff>
      <xdr:row>14</xdr:row>
      <xdr:rowOff>38099</xdr:rowOff>
    </xdr:from>
    <xdr:to>
      <xdr:col>10</xdr:col>
      <xdr:colOff>704849</xdr:colOff>
      <xdr:row>38</xdr:row>
      <xdr:rowOff>47342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15D974-E9DA-F066-0BCF-354D3A462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4" y="2305049"/>
          <a:ext cx="7724775" cy="38954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36286</xdr:colOff>
      <xdr:row>0</xdr:row>
      <xdr:rowOff>72571</xdr:rowOff>
    </xdr:from>
    <xdr:to>
      <xdr:col>8</xdr:col>
      <xdr:colOff>36286</xdr:colOff>
      <xdr:row>87</xdr:row>
      <xdr:rowOff>145143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3F59D2-CBC7-7E25-328A-3545ABBCC198}"/>
            </a:ext>
          </a:extLst>
        </xdr:cNvPr>
        <xdr:cNvCxnSpPr/>
      </xdr:nvCxnSpPr>
      <xdr:spPr>
        <a:xfrm>
          <a:off x="8064500" y="72571"/>
          <a:ext cx="0" cy="69305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9072</xdr:colOff>
      <xdr:row>0</xdr:row>
      <xdr:rowOff>99786</xdr:rowOff>
    </xdr:from>
    <xdr:to>
      <xdr:col>15</xdr:col>
      <xdr:colOff>50175</xdr:colOff>
      <xdr:row>49</xdr:row>
      <xdr:rowOff>18143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EE38242-73AE-4892-A22F-F1503D6FB1E3}"/>
            </a:ext>
          </a:extLst>
        </xdr:cNvPr>
        <xdr:cNvCxnSpPr/>
      </xdr:nvCxnSpPr>
      <xdr:spPr>
        <a:xfrm>
          <a:off x="11091690" y="99786"/>
          <a:ext cx="41103" cy="76055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2C51-881B-6547-8FE1-3305C24AB2DD}">
  <dimension ref="B2:K13"/>
  <sheetViews>
    <sheetView zoomScaleNormal="100" workbookViewId="0">
      <selection activeCell="N29" sqref="N29"/>
    </sheetView>
  </sheetViews>
  <sheetFormatPr defaultColWidth="10.875" defaultRowHeight="12.75" x14ac:dyDescent="0.2"/>
  <cols>
    <col min="1" max="1" width="10.875" style="14"/>
    <col min="2" max="2" width="12" style="14" customWidth="1"/>
    <col min="3" max="5" width="10.875" style="14"/>
    <col min="6" max="6" width="6.625" style="14" bestFit="1" customWidth="1"/>
    <col min="7" max="7" width="8.5" style="14" customWidth="1"/>
    <col min="8" max="8" width="8.125" style="14" customWidth="1"/>
    <col min="9" max="16384" width="10.875" style="14"/>
  </cols>
  <sheetData>
    <row r="2" spans="2:11" x14ac:dyDescent="0.2">
      <c r="I2" s="14" t="s">
        <v>0</v>
      </c>
      <c r="J2" s="15">
        <v>34</v>
      </c>
    </row>
    <row r="3" spans="2:11" x14ac:dyDescent="0.2">
      <c r="B3" s="16" t="s">
        <v>71</v>
      </c>
      <c r="C3" s="17" t="s">
        <v>103</v>
      </c>
      <c r="D3" s="16" t="s">
        <v>72</v>
      </c>
      <c r="I3" s="14" t="s">
        <v>1</v>
      </c>
      <c r="J3" s="18">
        <v>3771.5782260000001</v>
      </c>
      <c r="K3" s="19" t="s">
        <v>15</v>
      </c>
    </row>
    <row r="4" spans="2:11" x14ac:dyDescent="0.2">
      <c r="B4" s="16" t="s">
        <v>73</v>
      </c>
      <c r="C4" s="17" t="s">
        <v>103</v>
      </c>
      <c r="D4" s="16" t="s">
        <v>74</v>
      </c>
      <c r="I4" s="14" t="s">
        <v>2</v>
      </c>
      <c r="J4" s="18">
        <f>+J2*J3</f>
        <v>128233.659684</v>
      </c>
      <c r="K4" s="19"/>
    </row>
    <row r="5" spans="2:11" x14ac:dyDescent="0.2">
      <c r="B5" s="16" t="s">
        <v>75</v>
      </c>
      <c r="C5" s="17" t="s">
        <v>103</v>
      </c>
      <c r="D5" s="16" t="s">
        <v>76</v>
      </c>
      <c r="I5" s="14" t="s">
        <v>3</v>
      </c>
      <c r="J5" s="18">
        <v>15236</v>
      </c>
      <c r="K5" s="19" t="s">
        <v>6</v>
      </c>
    </row>
    <row r="6" spans="2:11" x14ac:dyDescent="0.2">
      <c r="B6" s="16" t="s">
        <v>77</v>
      </c>
      <c r="C6" s="17" t="s">
        <v>104</v>
      </c>
      <c r="D6" s="16" t="s">
        <v>78</v>
      </c>
      <c r="I6" s="14" t="s">
        <v>4</v>
      </c>
      <c r="J6" s="18">
        <v>98128</v>
      </c>
      <c r="K6" s="19" t="s">
        <v>6</v>
      </c>
    </row>
    <row r="7" spans="2:11" x14ac:dyDescent="0.2">
      <c r="B7" s="16" t="s">
        <v>79</v>
      </c>
      <c r="C7" s="17" t="s">
        <v>104</v>
      </c>
      <c r="D7" s="16" t="s">
        <v>80</v>
      </c>
      <c r="I7" s="14" t="s">
        <v>5</v>
      </c>
      <c r="J7" s="18">
        <f>+J4-J5+J6</f>
        <v>211125.65968400001</v>
      </c>
    </row>
    <row r="8" spans="2:11" x14ac:dyDescent="0.2">
      <c r="B8" s="16" t="s">
        <v>81</v>
      </c>
      <c r="C8" s="17" t="s">
        <v>104</v>
      </c>
      <c r="D8" s="16" t="s">
        <v>82</v>
      </c>
    </row>
    <row r="9" spans="2:11" x14ac:dyDescent="0.2">
      <c r="B9" s="16" t="s">
        <v>83</v>
      </c>
      <c r="C9" s="17" t="s">
        <v>105</v>
      </c>
      <c r="D9" s="16" t="s">
        <v>84</v>
      </c>
    </row>
    <row r="10" spans="2:11" x14ac:dyDescent="0.2">
      <c r="B10" s="16" t="s">
        <v>85</v>
      </c>
      <c r="C10" s="17" t="s">
        <v>106</v>
      </c>
      <c r="D10" s="16" t="s">
        <v>86</v>
      </c>
    </row>
    <row r="11" spans="2:11" x14ac:dyDescent="0.2">
      <c r="B11" s="16" t="s">
        <v>87</v>
      </c>
      <c r="C11" s="17" t="s">
        <v>107</v>
      </c>
      <c r="D11" s="16" t="s">
        <v>88</v>
      </c>
    </row>
    <row r="12" spans="2:11" x14ac:dyDescent="0.2">
      <c r="B12" s="16" t="s">
        <v>89</v>
      </c>
      <c r="C12" s="17" t="s">
        <v>108</v>
      </c>
      <c r="D12" s="16" t="s">
        <v>90</v>
      </c>
    </row>
    <row r="13" spans="2:11" x14ac:dyDescent="0.2">
      <c r="B13" s="16" t="s">
        <v>91</v>
      </c>
      <c r="C13" s="17" t="s">
        <v>109</v>
      </c>
      <c r="D13" s="16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FB55-E74D-8D45-BDBE-0DF84DD3D909}">
  <dimension ref="A1:CM7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defaultColWidth="10.875" defaultRowHeight="12.75" x14ac:dyDescent="0.2"/>
  <cols>
    <col min="1" max="1" width="4.875" style="1" bestFit="1" customWidth="1"/>
    <col min="2" max="2" width="31.375" style="1" bestFit="1" customWidth="1"/>
    <col min="3" max="11" width="8.375" style="2" customWidth="1"/>
    <col min="12" max="12" width="8.625" style="1" customWidth="1"/>
    <col min="13" max="21" width="8.375" style="1" customWidth="1"/>
    <col min="22" max="27" width="9.375" style="1" customWidth="1"/>
    <col min="28" max="29" width="10.875" style="1"/>
    <col min="30" max="30" width="9.5" style="1" customWidth="1"/>
    <col min="31" max="16384" width="10.875" style="1"/>
  </cols>
  <sheetData>
    <row r="1" spans="1:27" x14ac:dyDescent="0.2">
      <c r="A1" s="1" t="s">
        <v>7</v>
      </c>
    </row>
    <row r="2" spans="1:27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6</v>
      </c>
      <c r="I2" s="2" t="s">
        <v>14</v>
      </c>
      <c r="J2" s="2" t="s">
        <v>15</v>
      </c>
      <c r="M2" s="1">
        <v>2021</v>
      </c>
      <c r="N2" s="1">
        <f t="shared" ref="N2:AA2" si="0">+M2+1</f>
        <v>2022</v>
      </c>
      <c r="O2" s="1">
        <f t="shared" si="0"/>
        <v>2023</v>
      </c>
      <c r="P2" s="1">
        <f t="shared" si="0"/>
        <v>2024</v>
      </c>
      <c r="Q2" s="1">
        <f t="shared" si="0"/>
        <v>2025</v>
      </c>
      <c r="R2" s="1">
        <f t="shared" si="0"/>
        <v>2026</v>
      </c>
      <c r="S2" s="1">
        <f t="shared" si="0"/>
        <v>2027</v>
      </c>
      <c r="T2" s="1">
        <f t="shared" si="0"/>
        <v>2028</v>
      </c>
      <c r="U2" s="1">
        <f t="shared" si="0"/>
        <v>2029</v>
      </c>
      <c r="V2" s="1">
        <f t="shared" si="0"/>
        <v>2030</v>
      </c>
      <c r="W2" s="1">
        <f t="shared" si="0"/>
        <v>2031</v>
      </c>
      <c r="X2" s="1">
        <f t="shared" si="0"/>
        <v>2032</v>
      </c>
      <c r="Y2" s="1">
        <f t="shared" si="0"/>
        <v>2033</v>
      </c>
      <c r="Z2" s="1">
        <f t="shared" si="0"/>
        <v>2034</v>
      </c>
      <c r="AA2" s="1">
        <f t="shared" si="0"/>
        <v>2035</v>
      </c>
    </row>
    <row r="3" spans="1:27" x14ac:dyDescent="0.2">
      <c r="B3" s="1" t="s">
        <v>93</v>
      </c>
      <c r="M3" s="3">
        <v>60527</v>
      </c>
      <c r="N3" s="3">
        <v>61367</v>
      </c>
      <c r="O3" s="3">
        <v>62457</v>
      </c>
    </row>
    <row r="4" spans="1:27" x14ac:dyDescent="0.2">
      <c r="B4" s="10" t="s">
        <v>100</v>
      </c>
      <c r="F4" s="2">
        <v>52136</v>
      </c>
      <c r="J4" s="2">
        <v>51609</v>
      </c>
      <c r="M4" s="3"/>
      <c r="N4" s="3"/>
      <c r="O4" s="3"/>
    </row>
    <row r="5" spans="1:27" x14ac:dyDescent="0.2">
      <c r="B5" s="10" t="s">
        <v>55</v>
      </c>
      <c r="F5" s="2">
        <v>32253</v>
      </c>
      <c r="J5" s="2">
        <v>31842</v>
      </c>
      <c r="M5" s="3"/>
      <c r="N5" s="3"/>
      <c r="O5" s="3"/>
    </row>
    <row r="6" spans="1:27" x14ac:dyDescent="0.2">
      <c r="B6" s="10" t="s">
        <v>56</v>
      </c>
      <c r="F6" s="2">
        <v>6588</v>
      </c>
      <c r="J6" s="2">
        <v>7826</v>
      </c>
    </row>
    <row r="7" spans="1:27" x14ac:dyDescent="0.2">
      <c r="B7" s="10" t="s">
        <v>101</v>
      </c>
      <c r="F7" s="2">
        <v>14106</v>
      </c>
      <c r="J7" s="2">
        <v>12523</v>
      </c>
    </row>
    <row r="9" spans="1:27" s="3" customFormat="1" x14ac:dyDescent="0.2">
      <c r="B9" s="3" t="s">
        <v>55</v>
      </c>
      <c r="C9" s="4"/>
      <c r="D9" s="4"/>
      <c r="E9" s="4"/>
      <c r="F9" s="4">
        <v>6403</v>
      </c>
      <c r="G9" s="4"/>
      <c r="H9" s="4">
        <v>6569</v>
      </c>
      <c r="I9" s="4"/>
      <c r="J9" s="4">
        <v>6528</v>
      </c>
      <c r="K9" s="4"/>
      <c r="M9" s="3">
        <v>22979</v>
      </c>
      <c r="N9" s="3">
        <v>24469</v>
      </c>
      <c r="O9" s="3">
        <v>25489</v>
      </c>
      <c r="P9" s="3">
        <v>26228</v>
      </c>
    </row>
    <row r="10" spans="1:27" s="3" customFormat="1" x14ac:dyDescent="0.2">
      <c r="B10" s="3" t="s">
        <v>56</v>
      </c>
      <c r="C10" s="4"/>
      <c r="D10" s="4"/>
      <c r="E10" s="4"/>
      <c r="F10" s="4">
        <v>1020</v>
      </c>
      <c r="G10" s="4"/>
      <c r="H10" s="4">
        <v>1019</v>
      </c>
      <c r="I10" s="4"/>
      <c r="J10" s="4">
        <v>1189</v>
      </c>
      <c r="K10" s="4"/>
      <c r="M10" s="3">
        <v>2380</v>
      </c>
      <c r="N10" s="3">
        <v>3071</v>
      </c>
      <c r="O10" s="3">
        <v>3664</v>
      </c>
      <c r="P10" s="3">
        <v>4273</v>
      </c>
    </row>
    <row r="11" spans="1:27" s="3" customFormat="1" x14ac:dyDescent="0.2">
      <c r="B11" s="3" t="s">
        <v>57</v>
      </c>
      <c r="C11" s="4"/>
      <c r="D11" s="4"/>
      <c r="E11" s="4"/>
      <c r="F11" s="4">
        <v>1197</v>
      </c>
      <c r="G11" s="4"/>
      <c r="H11" s="4">
        <v>1148</v>
      </c>
      <c r="I11" s="4"/>
      <c r="J11" s="4">
        <v>1354</v>
      </c>
      <c r="K11" s="4"/>
      <c r="M11" s="3">
        <v>3293</v>
      </c>
      <c r="N11" s="3">
        <v>3426</v>
      </c>
      <c r="O11" s="3">
        <v>4207</v>
      </c>
      <c r="P11" s="3">
        <v>4854</v>
      </c>
    </row>
    <row r="12" spans="1:27" s="3" customFormat="1" x14ac:dyDescent="0.2">
      <c r="B12" s="3" t="s">
        <v>58</v>
      </c>
      <c r="C12" s="4"/>
      <c r="D12" s="4"/>
      <c r="E12" s="4"/>
      <c r="F12" s="4">
        <v>6903</v>
      </c>
      <c r="G12" s="4"/>
      <c r="H12" s="4">
        <v>6781</v>
      </c>
      <c r="I12" s="4"/>
      <c r="J12" s="4">
        <v>6502</v>
      </c>
      <c r="K12" s="4"/>
      <c r="M12" s="3">
        <v>32440</v>
      </c>
      <c r="N12" s="3">
        <v>30496</v>
      </c>
      <c r="O12" s="3">
        <v>28797</v>
      </c>
      <c r="P12" s="3">
        <v>26872</v>
      </c>
    </row>
    <row r="13" spans="1:27" s="3" customFormat="1" x14ac:dyDescent="0.2">
      <c r="B13" s="3" t="s">
        <v>59</v>
      </c>
      <c r="C13" s="4"/>
      <c r="D13" s="4"/>
      <c r="E13" s="4"/>
      <c r="F13" s="4">
        <v>1109</v>
      </c>
      <c r="G13" s="4"/>
      <c r="H13" s="4">
        <v>993</v>
      </c>
      <c r="I13" s="4"/>
      <c r="J13" s="4">
        <v>1158</v>
      </c>
      <c r="K13" s="4"/>
      <c r="M13" s="3">
        <v>4507</v>
      </c>
      <c r="N13" s="3">
        <v>4546</v>
      </c>
      <c r="O13" s="3">
        <v>3969</v>
      </c>
      <c r="P13" s="3">
        <v>4089</v>
      </c>
    </row>
    <row r="14" spans="1:27" s="3" customFormat="1" x14ac:dyDescent="0.2">
      <c r="B14" s="3" t="s">
        <v>60</v>
      </c>
      <c r="C14" s="4"/>
      <c r="D14" s="4"/>
      <c r="E14" s="4"/>
      <c r="F14" s="4">
        <v>1426</v>
      </c>
      <c r="G14" s="4"/>
      <c r="H14" s="4">
        <v>1313</v>
      </c>
      <c r="I14" s="4"/>
      <c r="J14" s="4">
        <v>1286</v>
      </c>
      <c r="K14" s="4"/>
      <c r="M14" s="3">
        <v>7095</v>
      </c>
      <c r="N14" s="3">
        <v>6378</v>
      </c>
      <c r="O14" s="3">
        <v>5820</v>
      </c>
      <c r="P14" s="3">
        <v>5259</v>
      </c>
    </row>
    <row r="15" spans="1:27" x14ac:dyDescent="0.2">
      <c r="B15" s="1" t="s">
        <v>70</v>
      </c>
      <c r="F15" s="2">
        <v>2361</v>
      </c>
      <c r="H15" s="4">
        <v>2421</v>
      </c>
      <c r="J15" s="2">
        <v>2448</v>
      </c>
      <c r="M15" s="3">
        <v>8056</v>
      </c>
      <c r="N15" s="3">
        <v>8819</v>
      </c>
      <c r="O15" s="3">
        <v>9255</v>
      </c>
      <c r="P15" s="3">
        <v>9701</v>
      </c>
    </row>
    <row r="16" spans="1:27" x14ac:dyDescent="0.2">
      <c r="B16" s="1" t="s">
        <v>69</v>
      </c>
      <c r="F16" s="2">
        <v>2635</v>
      </c>
      <c r="H16" s="4">
        <v>1991</v>
      </c>
      <c r="J16" s="2">
        <v>2645</v>
      </c>
      <c r="M16" s="3">
        <v>10177</v>
      </c>
      <c r="N16" s="3">
        <v>10360</v>
      </c>
      <c r="O16" s="3">
        <v>8600</v>
      </c>
      <c r="P16" s="3">
        <v>10008</v>
      </c>
    </row>
    <row r="17" spans="2:27" x14ac:dyDescent="0.2">
      <c r="B17" s="1" t="s">
        <v>68</v>
      </c>
      <c r="F17" s="2">
        <v>2747</v>
      </c>
      <c r="H17" s="4">
        <v>2764</v>
      </c>
      <c r="J17" s="2">
        <v>2885</v>
      </c>
      <c r="M17" s="3">
        <v>10080</v>
      </c>
      <c r="N17" s="3">
        <v>10525</v>
      </c>
      <c r="O17" s="3">
        <v>10663</v>
      </c>
      <c r="P17" s="3">
        <v>11826</v>
      </c>
    </row>
    <row r="18" spans="2:27" x14ac:dyDescent="0.2">
      <c r="B18" s="1" t="s">
        <v>67</v>
      </c>
      <c r="F18" s="2">
        <v>1047</v>
      </c>
      <c r="H18" s="4">
        <v>1102</v>
      </c>
      <c r="J18" s="2">
        <v>1090</v>
      </c>
      <c r="M18" s="3">
        <v>5060</v>
      </c>
      <c r="N18" s="3">
        <v>3729</v>
      </c>
      <c r="O18" s="3">
        <v>4109</v>
      </c>
      <c r="P18" s="3">
        <v>4282</v>
      </c>
    </row>
    <row r="19" spans="2:27" x14ac:dyDescent="0.2">
      <c r="B19" s="1" t="s">
        <v>66</v>
      </c>
      <c r="F19" s="2">
        <v>550</v>
      </c>
      <c r="H19" s="4">
        <v>467</v>
      </c>
      <c r="J19" s="2">
        <v>603</v>
      </c>
      <c r="M19" s="3">
        <v>2090</v>
      </c>
      <c r="N19" s="3">
        <v>2105</v>
      </c>
      <c r="O19" s="3">
        <v>1983</v>
      </c>
      <c r="P19" s="3">
        <v>2031</v>
      </c>
    </row>
    <row r="20" spans="2:27" x14ac:dyDescent="0.2">
      <c r="B20" s="1" t="s">
        <v>65</v>
      </c>
      <c r="F20" s="2">
        <v>2375</v>
      </c>
      <c r="H20" s="4">
        <v>1714</v>
      </c>
      <c r="J20" s="2">
        <v>2383</v>
      </c>
      <c r="M20" s="3">
        <v>8193</v>
      </c>
      <c r="N20" s="3">
        <v>9348</v>
      </c>
      <c r="O20" s="3">
        <v>8231</v>
      </c>
      <c r="P20" s="3">
        <v>8063</v>
      </c>
    </row>
    <row r="21" spans="2:27" x14ac:dyDescent="0.2">
      <c r="B21" s="1" t="s">
        <v>64</v>
      </c>
      <c r="F21" s="2">
        <v>343</v>
      </c>
      <c r="H21" s="4">
        <v>237</v>
      </c>
      <c r="J21" s="2">
        <v>515</v>
      </c>
      <c r="M21" s="3">
        <v>691</v>
      </c>
      <c r="N21" s="3">
        <v>1607</v>
      </c>
      <c r="O21" s="3">
        <v>2079</v>
      </c>
      <c r="P21" s="3">
        <v>1693</v>
      </c>
    </row>
    <row r="22" spans="2:27" x14ac:dyDescent="0.2">
      <c r="B22" s="1" t="s">
        <v>63</v>
      </c>
      <c r="F22" s="2">
        <v>345</v>
      </c>
      <c r="H22" s="4">
        <v>302</v>
      </c>
      <c r="J22" s="2">
        <v>371</v>
      </c>
      <c r="M22" s="3">
        <v>1193</v>
      </c>
      <c r="N22" s="3">
        <v>1302</v>
      </c>
      <c r="O22" s="3">
        <v>1315</v>
      </c>
      <c r="P22" s="3">
        <v>1335</v>
      </c>
    </row>
    <row r="23" spans="2:27" x14ac:dyDescent="0.2">
      <c r="B23" s="1" t="s">
        <v>62</v>
      </c>
      <c r="F23" s="2">
        <v>2371</v>
      </c>
      <c r="H23" s="4">
        <v>1975</v>
      </c>
      <c r="J23" s="2">
        <v>2374</v>
      </c>
      <c r="M23" s="3">
        <v>5051</v>
      </c>
      <c r="N23" s="3">
        <v>7541</v>
      </c>
      <c r="O23" s="3">
        <v>8947</v>
      </c>
      <c r="P23" s="3">
        <v>8617</v>
      </c>
    </row>
    <row r="24" spans="2:27" x14ac:dyDescent="0.2">
      <c r="B24" s="10" t="s">
        <v>102</v>
      </c>
      <c r="F24" s="2">
        <v>760</v>
      </c>
      <c r="H24" s="4">
        <v>715</v>
      </c>
      <c r="J24" s="2">
        <v>784</v>
      </c>
      <c r="M24" s="3">
        <v>10077</v>
      </c>
      <c r="N24" s="3">
        <v>12257</v>
      </c>
      <c r="O24" s="3">
        <v>11625</v>
      </c>
      <c r="P24" s="3">
        <v>11092</v>
      </c>
    </row>
    <row r="25" spans="2:27" x14ac:dyDescent="0.2">
      <c r="B25" s="1" t="s">
        <v>61</v>
      </c>
      <c r="H25" s="4">
        <v>-1825</v>
      </c>
      <c r="M25" s="3">
        <f>-3048-6783</f>
        <v>-9831</v>
      </c>
      <c r="N25" s="3">
        <f>-3442-5590</f>
        <v>-9032</v>
      </c>
      <c r="O25" s="3">
        <f>-2800-5583</f>
        <v>-8383</v>
      </c>
      <c r="P25" s="3">
        <v>-2798</v>
      </c>
    </row>
    <row r="28" spans="2:27" s="5" customFormat="1" x14ac:dyDescent="0.2">
      <c r="B28" s="5" t="s">
        <v>8</v>
      </c>
      <c r="C28" s="6">
        <v>29691</v>
      </c>
      <c r="D28" s="6">
        <v>30513</v>
      </c>
      <c r="E28" s="6"/>
      <c r="F28" s="6"/>
      <c r="G28" s="6">
        <v>30058</v>
      </c>
      <c r="H28" s="6">
        <v>29688</v>
      </c>
      <c r="I28" s="6">
        <v>29688</v>
      </c>
      <c r="J28" s="6">
        <v>29688</v>
      </c>
      <c r="K28" s="6"/>
      <c r="M28" s="5">
        <v>116385</v>
      </c>
      <c r="N28" s="5">
        <v>121427</v>
      </c>
      <c r="O28" s="5">
        <v>121572</v>
      </c>
      <c r="P28" s="5">
        <v>121572</v>
      </c>
      <c r="Q28" s="5">
        <f>+P28*0.97</f>
        <v>117924.84</v>
      </c>
      <c r="R28" s="5">
        <f t="shared" ref="R28:AA28" si="1">+Q28*0.97</f>
        <v>114387.09479999999</v>
      </c>
      <c r="S28" s="5">
        <f t="shared" si="1"/>
        <v>110955.48195599999</v>
      </c>
      <c r="T28" s="5">
        <f t="shared" si="1"/>
        <v>107626.81749731999</v>
      </c>
      <c r="U28" s="5">
        <f t="shared" si="1"/>
        <v>104398.01297240039</v>
      </c>
      <c r="V28" s="5">
        <f>+U28*0.95</f>
        <v>99178.112323780369</v>
      </c>
      <c r="W28" s="5">
        <f>+V28*0.95</f>
        <v>94219.206707591351</v>
      </c>
      <c r="X28" s="5">
        <f>+W28*0.95</f>
        <v>89508.246372211783</v>
      </c>
      <c r="Y28" s="5">
        <f>+X28*0.95</f>
        <v>85032.834053601197</v>
      </c>
      <c r="Z28" s="5">
        <f>+Y28*0.95</f>
        <v>80781.192350921134</v>
      </c>
      <c r="AA28" s="5">
        <f>+Z28*0.95</f>
        <v>76742.132733375067</v>
      </c>
    </row>
    <row r="29" spans="2:27" s="3" customFormat="1" x14ac:dyDescent="0.2">
      <c r="B29" s="3" t="s">
        <v>16</v>
      </c>
      <c r="C29" s="4">
        <v>9004</v>
      </c>
      <c r="D29" s="4">
        <v>8849</v>
      </c>
      <c r="E29" s="4"/>
      <c r="F29" s="4"/>
      <c r="G29" s="4">
        <v>8823</v>
      </c>
      <c r="H29" s="4">
        <v>7961</v>
      </c>
      <c r="I29" s="4">
        <v>7961</v>
      </c>
      <c r="J29" s="4">
        <v>7961</v>
      </c>
      <c r="K29" s="4"/>
      <c r="M29" s="3">
        <v>38450</v>
      </c>
      <c r="N29" s="3">
        <v>38213</v>
      </c>
      <c r="O29" s="3">
        <v>36762</v>
      </c>
      <c r="P29" s="3">
        <f>+P28-P30</f>
        <v>36471.600000000006</v>
      </c>
      <c r="Q29" s="3">
        <f>+Q28-Q30</f>
        <v>36556.700400000002</v>
      </c>
      <c r="R29" s="3">
        <f>+R28-R30</f>
        <v>35459.999387999997</v>
      </c>
      <c r="S29" s="3">
        <f>+S28-S30</f>
        <v>35505.754225919998</v>
      </c>
      <c r="T29" s="3">
        <f t="shared" ref="T29" si="2">+T28-T30</f>
        <v>34440.581599142388</v>
      </c>
      <c r="U29" s="3">
        <f t="shared" ref="U29" si="3">+U28-U30</f>
        <v>34451.344280892125</v>
      </c>
      <c r="V29" s="3">
        <f t="shared" ref="V29:AA29" si="4">+V28-V30</f>
        <v>32728.777066847513</v>
      </c>
      <c r="W29" s="3">
        <f t="shared" si="4"/>
        <v>32034.530280581057</v>
      </c>
      <c r="X29" s="3">
        <f t="shared" ref="X29" si="5">+X28-X30</f>
        <v>30432.803766552002</v>
      </c>
      <c r="Y29" s="3">
        <f t="shared" si="4"/>
        <v>29761.491918760417</v>
      </c>
      <c r="Z29" s="3">
        <f t="shared" si="4"/>
        <v>28273.417322822395</v>
      </c>
      <c r="AA29" s="3">
        <f t="shared" si="4"/>
        <v>27627.167784015022</v>
      </c>
    </row>
    <row r="30" spans="2:27" s="3" customFormat="1" x14ac:dyDescent="0.2">
      <c r="B30" s="3" t="s">
        <v>17</v>
      </c>
      <c r="C30" s="4">
        <f>+C28-C29</f>
        <v>20687</v>
      </c>
      <c r="D30" s="4">
        <f>+D28-D29</f>
        <v>21664</v>
      </c>
      <c r="E30" s="4"/>
      <c r="F30" s="4"/>
      <c r="G30" s="4">
        <f>+G28-G29</f>
        <v>21235</v>
      </c>
      <c r="H30" s="4">
        <f>+H28-H29</f>
        <v>21727</v>
      </c>
      <c r="I30" s="4">
        <f t="shared" ref="I30:J30" si="6">+I28-I29</f>
        <v>21727</v>
      </c>
      <c r="J30" s="4">
        <f t="shared" si="6"/>
        <v>21727</v>
      </c>
      <c r="K30" s="4"/>
      <c r="M30" s="3">
        <f>+M28-M29</f>
        <v>77935</v>
      </c>
      <c r="N30" s="3">
        <f>+N28-N29</f>
        <v>83214</v>
      </c>
      <c r="O30" s="3">
        <f>+O28-O29</f>
        <v>84810</v>
      </c>
      <c r="P30" s="3">
        <f>+P28*0.7</f>
        <v>85100.4</v>
      </c>
      <c r="Q30" s="3">
        <f>+Q28*0.69</f>
        <v>81368.139599999995</v>
      </c>
      <c r="R30" s="3">
        <f>+R28*0.69</f>
        <v>78927.095411999995</v>
      </c>
      <c r="S30" s="3">
        <f>+S28*0.68</f>
        <v>75449.727730079991</v>
      </c>
      <c r="T30" s="3">
        <f t="shared" ref="T30" si="7">+T28*0.68</f>
        <v>73186.235898177605</v>
      </c>
      <c r="U30" s="3">
        <f>+U28*0.67</f>
        <v>69946.668691508268</v>
      </c>
      <c r="V30" s="3">
        <f t="shared" ref="V30" si="8">+V28*0.67</f>
        <v>66449.335256932856</v>
      </c>
      <c r="W30" s="3">
        <f>+W28*0.66</f>
        <v>62184.676427010294</v>
      </c>
      <c r="X30" s="3">
        <f t="shared" ref="X30" si="9">+X28*0.66</f>
        <v>59075.44260565978</v>
      </c>
      <c r="Y30" s="3">
        <f>+Y28*0.65</f>
        <v>55271.342134840779</v>
      </c>
      <c r="Z30" s="3">
        <f>+Z28*0.65</f>
        <v>52507.775028098738</v>
      </c>
      <c r="AA30" s="3">
        <f>+AA28*0.64</f>
        <v>49114.964949360045</v>
      </c>
    </row>
    <row r="31" spans="2:27" s="3" customFormat="1" x14ac:dyDescent="0.2">
      <c r="B31" s="3" t="s">
        <v>20</v>
      </c>
      <c r="C31" s="4">
        <v>1963</v>
      </c>
      <c r="D31" s="4">
        <v>2100</v>
      </c>
      <c r="E31" s="4"/>
      <c r="F31" s="4"/>
      <c r="G31" s="4">
        <v>2018</v>
      </c>
      <c r="H31" s="4">
        <v>1922</v>
      </c>
      <c r="I31" s="4">
        <v>1922</v>
      </c>
      <c r="J31" s="4">
        <v>1922</v>
      </c>
      <c r="K31" s="4"/>
      <c r="M31" s="3">
        <v>7695</v>
      </c>
      <c r="N31" s="3">
        <v>8506</v>
      </c>
      <c r="O31" s="3">
        <v>7971</v>
      </c>
      <c r="P31" s="3">
        <v>7971</v>
      </c>
      <c r="Q31" s="3">
        <f>+P31*0.97</f>
        <v>7731.87</v>
      </c>
      <c r="R31" s="3">
        <f t="shared" ref="R31:AA31" si="10">+Q31*0.97</f>
        <v>7499.9138999999996</v>
      </c>
      <c r="S31" s="3">
        <f t="shared" si="10"/>
        <v>7274.9164829999991</v>
      </c>
      <c r="T31" s="3">
        <f t="shared" si="10"/>
        <v>7056.6689885099986</v>
      </c>
      <c r="U31" s="3">
        <f t="shared" si="10"/>
        <v>6844.9689188546981</v>
      </c>
      <c r="V31" s="3">
        <f t="shared" si="10"/>
        <v>6639.6198512890569</v>
      </c>
      <c r="W31" s="3">
        <f t="shared" si="10"/>
        <v>6440.4312557503854</v>
      </c>
      <c r="X31" s="3">
        <f t="shared" si="10"/>
        <v>6247.2183180778738</v>
      </c>
      <c r="Y31" s="3">
        <f t="shared" si="10"/>
        <v>6059.8017685355371</v>
      </c>
      <c r="Z31" s="3">
        <f t="shared" si="10"/>
        <v>5878.0077154794708</v>
      </c>
      <c r="AA31" s="3">
        <f t="shared" si="10"/>
        <v>5701.6674840150863</v>
      </c>
    </row>
    <row r="32" spans="2:27" s="3" customFormat="1" x14ac:dyDescent="0.2">
      <c r="B32" s="3" t="s">
        <v>21</v>
      </c>
      <c r="C32" s="4">
        <v>9301</v>
      </c>
      <c r="D32" s="4">
        <v>9317</v>
      </c>
      <c r="E32" s="4"/>
      <c r="F32" s="4"/>
      <c r="G32" s="4">
        <v>9857</v>
      </c>
      <c r="H32" s="4">
        <v>9630</v>
      </c>
      <c r="I32" s="4">
        <v>9630</v>
      </c>
      <c r="J32" s="4">
        <v>9630</v>
      </c>
      <c r="K32" s="4"/>
      <c r="M32" s="3">
        <v>35619</v>
      </c>
      <c r="N32" s="3">
        <v>38263</v>
      </c>
      <c r="O32" s="3">
        <v>39190</v>
      </c>
      <c r="P32" s="3">
        <v>39190</v>
      </c>
      <c r="Q32" s="3">
        <f>+P32*0.97</f>
        <v>38014.299999999996</v>
      </c>
      <c r="R32" s="3">
        <f t="shared" ref="R32:AA32" si="11">+Q32*0.97</f>
        <v>36873.870999999992</v>
      </c>
      <c r="S32" s="3">
        <f t="shared" si="11"/>
        <v>35767.654869999991</v>
      </c>
      <c r="T32" s="3">
        <f t="shared" si="11"/>
        <v>34694.625223899988</v>
      </c>
      <c r="U32" s="3">
        <f t="shared" si="11"/>
        <v>33653.786467182988</v>
      </c>
      <c r="V32" s="3">
        <f t="shared" si="11"/>
        <v>32644.172873167499</v>
      </c>
      <c r="W32" s="3">
        <f t="shared" si="11"/>
        <v>31664.847686972473</v>
      </c>
      <c r="X32" s="3">
        <f t="shared" si="11"/>
        <v>30714.902256363297</v>
      </c>
      <c r="Y32" s="3">
        <f t="shared" si="11"/>
        <v>29793.455188672397</v>
      </c>
      <c r="Z32" s="3">
        <f t="shared" si="11"/>
        <v>28899.651533012224</v>
      </c>
      <c r="AA32" s="3">
        <f t="shared" si="11"/>
        <v>28032.661987021856</v>
      </c>
    </row>
    <row r="33" spans="2:91" s="3" customFormat="1" x14ac:dyDescent="0.2">
      <c r="B33" s="3" t="s">
        <v>19</v>
      </c>
      <c r="C33" s="4">
        <f>SUM(C31:C32)</f>
        <v>11264</v>
      </c>
      <c r="D33" s="4">
        <f>SUM(D31:D32)</f>
        <v>11417</v>
      </c>
      <c r="E33" s="4"/>
      <c r="F33" s="4"/>
      <c r="G33" s="4">
        <f>SUM(G31:G32)</f>
        <v>11875</v>
      </c>
      <c r="H33" s="4">
        <f>SUM(H31:H32)</f>
        <v>11552</v>
      </c>
      <c r="I33" s="4">
        <f t="shared" ref="I33:J33" si="12">SUM(I31:I32)</f>
        <v>11552</v>
      </c>
      <c r="J33" s="4">
        <f t="shared" si="12"/>
        <v>11552</v>
      </c>
      <c r="K33" s="4"/>
      <c r="M33" s="3">
        <f>+M31+M32</f>
        <v>43314</v>
      </c>
      <c r="N33" s="3">
        <f>+N31+N32</f>
        <v>46769</v>
      </c>
      <c r="O33" s="3">
        <f>+O31+O32</f>
        <v>47161</v>
      </c>
      <c r="P33" s="3">
        <f t="shared" ref="P33:AA33" si="13">+P31+P32</f>
        <v>47161</v>
      </c>
      <c r="Q33" s="3">
        <f t="shared" si="13"/>
        <v>45746.17</v>
      </c>
      <c r="R33" s="3">
        <f t="shared" si="13"/>
        <v>44373.784899999991</v>
      </c>
      <c r="S33" s="3">
        <f t="shared" si="13"/>
        <v>43042.571352999992</v>
      </c>
      <c r="T33" s="3">
        <f t="shared" si="13"/>
        <v>41751.294212409986</v>
      </c>
      <c r="U33" s="3">
        <f t="shared" si="13"/>
        <v>40498.755386037687</v>
      </c>
      <c r="V33" s="3">
        <f t="shared" si="13"/>
        <v>39283.792724456558</v>
      </c>
      <c r="W33" s="3">
        <f t="shared" si="13"/>
        <v>38105.278942722856</v>
      </c>
      <c r="X33" s="3">
        <f t="shared" si="13"/>
        <v>36962.120574441171</v>
      </c>
      <c r="Y33" s="3">
        <f t="shared" si="13"/>
        <v>35853.256957207937</v>
      </c>
      <c r="Z33" s="3">
        <f t="shared" si="13"/>
        <v>34777.659248491691</v>
      </c>
      <c r="AA33" s="3">
        <f t="shared" si="13"/>
        <v>33734.329471036945</v>
      </c>
    </row>
    <row r="34" spans="2:91" s="3" customFormat="1" x14ac:dyDescent="0.2">
      <c r="B34" s="3" t="s">
        <v>18</v>
      </c>
      <c r="C34" s="4">
        <f>+C30-C33</f>
        <v>9423</v>
      </c>
      <c r="D34" s="4">
        <f>+D30-D33</f>
        <v>10247</v>
      </c>
      <c r="E34" s="4"/>
      <c r="F34" s="4"/>
      <c r="G34" s="4">
        <f>+G30-G33</f>
        <v>9360</v>
      </c>
      <c r="H34" s="4">
        <f>+H30-H33</f>
        <v>10175</v>
      </c>
      <c r="I34" s="4">
        <f t="shared" ref="I34:J34" si="14">+I30-I33</f>
        <v>10175</v>
      </c>
      <c r="J34" s="4">
        <f t="shared" si="14"/>
        <v>10175</v>
      </c>
      <c r="K34" s="4"/>
      <c r="M34" s="3">
        <f>+M30-M33</f>
        <v>34621</v>
      </c>
      <c r="N34" s="3">
        <f>+N30-N33</f>
        <v>36445</v>
      </c>
      <c r="O34" s="3">
        <f>+O30-O33</f>
        <v>37649</v>
      </c>
      <c r="P34" s="3">
        <f t="shared" ref="P34:AA34" si="15">+P30-P33</f>
        <v>37939.399999999994</v>
      </c>
      <c r="Q34" s="3">
        <f t="shared" si="15"/>
        <v>35621.969599999997</v>
      </c>
      <c r="R34" s="3">
        <f t="shared" si="15"/>
        <v>34553.310512000004</v>
      </c>
      <c r="S34" s="3">
        <f t="shared" si="15"/>
        <v>32407.156377079998</v>
      </c>
      <c r="T34" s="3">
        <f t="shared" si="15"/>
        <v>31434.941685767619</v>
      </c>
      <c r="U34" s="3">
        <f t="shared" si="15"/>
        <v>29447.913305470582</v>
      </c>
      <c r="V34" s="3">
        <f t="shared" si="15"/>
        <v>27165.542532476298</v>
      </c>
      <c r="W34" s="3">
        <f t="shared" si="15"/>
        <v>24079.397484287438</v>
      </c>
      <c r="X34" s="3">
        <f t="shared" si="15"/>
        <v>22113.322031218609</v>
      </c>
      <c r="Y34" s="3">
        <f t="shared" si="15"/>
        <v>19418.085177632842</v>
      </c>
      <c r="Z34" s="3">
        <f t="shared" si="15"/>
        <v>17730.115779607047</v>
      </c>
      <c r="AA34" s="3">
        <f t="shared" si="15"/>
        <v>15380.6354783231</v>
      </c>
    </row>
    <row r="35" spans="2:91" s="3" customFormat="1" x14ac:dyDescent="0.2">
      <c r="B35" s="3" t="s">
        <v>22</v>
      </c>
      <c r="C35" s="4">
        <v>-1010</v>
      </c>
      <c r="D35" s="4">
        <v>-998</v>
      </c>
      <c r="E35" s="4"/>
      <c r="F35" s="4"/>
      <c r="G35" s="4">
        <v>-1002</v>
      </c>
      <c r="H35" s="4">
        <v>-1026</v>
      </c>
      <c r="I35" s="4">
        <v>-1026</v>
      </c>
      <c r="J35" s="4">
        <v>-1026</v>
      </c>
      <c r="K35" s="4"/>
      <c r="M35" s="3">
        <v>-4281</v>
      </c>
      <c r="N35" s="3">
        <v>-3896</v>
      </c>
      <c r="O35" s="3">
        <v>-4087</v>
      </c>
      <c r="P35" s="3">
        <v>-4087</v>
      </c>
      <c r="Q35" s="3">
        <f>+P45*$AD$44</f>
        <v>-775.69200000000012</v>
      </c>
      <c r="R35" s="3">
        <f t="shared" ref="R35:AA35" si="16">+Q45*$AD$44</f>
        <v>-218.15155840000023</v>
      </c>
      <c r="S35" s="3">
        <f t="shared" si="16"/>
        <v>331.21098485759984</v>
      </c>
      <c r="T35" s="3">
        <f t="shared" si="16"/>
        <v>855.02486264860147</v>
      </c>
      <c r="U35" s="3">
        <f t="shared" si="16"/>
        <v>1371.6643274232611</v>
      </c>
      <c r="V35" s="3">
        <f t="shared" si="16"/>
        <v>1864.7775695495627</v>
      </c>
      <c r="W35" s="3">
        <f t="shared" si="16"/>
        <v>2329.2626911819766</v>
      </c>
      <c r="X35" s="3">
        <f t="shared" si="16"/>
        <v>2751.8012539894876</v>
      </c>
      <c r="Y35" s="3">
        <f t="shared" si="16"/>
        <v>3149.6432265528169</v>
      </c>
      <c r="Z35" s="3">
        <f t="shared" si="16"/>
        <v>3510.7268810197875</v>
      </c>
      <c r="AA35" s="3">
        <f t="shared" si="16"/>
        <v>3850.5803635898169</v>
      </c>
    </row>
    <row r="36" spans="2:91" s="3" customFormat="1" x14ac:dyDescent="0.2">
      <c r="B36" s="3" t="s">
        <v>23</v>
      </c>
      <c r="C36" s="4">
        <f>+C34+C35</f>
        <v>8413</v>
      </c>
      <c r="D36" s="4">
        <f>+D34+D35</f>
        <v>9249</v>
      </c>
      <c r="E36" s="4"/>
      <c r="F36" s="4"/>
      <c r="G36" s="4">
        <f>+G34+G35</f>
        <v>8358</v>
      </c>
      <c r="H36" s="4">
        <f>+H34+H35</f>
        <v>9149</v>
      </c>
      <c r="I36" s="4">
        <f t="shared" ref="I36:J36" si="17">+I34+I35</f>
        <v>9149</v>
      </c>
      <c r="J36" s="4">
        <f t="shared" si="17"/>
        <v>9149</v>
      </c>
      <c r="K36" s="4"/>
      <c r="M36" s="3">
        <f>+M34+M35</f>
        <v>30340</v>
      </c>
      <c r="N36" s="3">
        <f>+N34+N35</f>
        <v>32549</v>
      </c>
      <c r="O36" s="3">
        <f>+O34+O35</f>
        <v>33562</v>
      </c>
      <c r="P36" s="3">
        <f t="shared" ref="P36:AA36" si="18">+P34+P35</f>
        <v>33852.399999999994</v>
      </c>
      <c r="Q36" s="3">
        <f t="shared" si="18"/>
        <v>34846.277599999994</v>
      </c>
      <c r="R36" s="3">
        <f t="shared" si="18"/>
        <v>34335.158953600003</v>
      </c>
      <c r="S36" s="3">
        <f t="shared" si="18"/>
        <v>32738.367361937599</v>
      </c>
      <c r="T36" s="3">
        <f t="shared" si="18"/>
        <v>32289.966548416221</v>
      </c>
      <c r="U36" s="3">
        <f t="shared" si="18"/>
        <v>30819.577632893845</v>
      </c>
      <c r="V36" s="3">
        <f t="shared" si="18"/>
        <v>29030.32010202586</v>
      </c>
      <c r="W36" s="3">
        <f t="shared" si="18"/>
        <v>26408.660175469413</v>
      </c>
      <c r="X36" s="3">
        <f t="shared" si="18"/>
        <v>24865.123285208098</v>
      </c>
      <c r="Y36" s="3">
        <f t="shared" si="18"/>
        <v>22567.728404185658</v>
      </c>
      <c r="Z36" s="3">
        <f t="shared" si="18"/>
        <v>21240.842660626833</v>
      </c>
      <c r="AA36" s="3">
        <f t="shared" si="18"/>
        <v>19231.215841912915</v>
      </c>
    </row>
    <row r="37" spans="2:91" s="3" customFormat="1" x14ac:dyDescent="0.2">
      <c r="B37" s="3" t="s">
        <v>24</v>
      </c>
      <c r="C37" s="4">
        <v>1476</v>
      </c>
      <c r="D37" s="4">
        <v>1537</v>
      </c>
      <c r="E37" s="4"/>
      <c r="F37" s="4"/>
      <c r="G37" s="4">
        <v>1328</v>
      </c>
      <c r="H37" s="4">
        <v>1336</v>
      </c>
      <c r="I37" s="4">
        <v>1336</v>
      </c>
      <c r="J37" s="4">
        <v>1336</v>
      </c>
      <c r="K37" s="4"/>
      <c r="M37" s="3">
        <v>5259</v>
      </c>
      <c r="N37" s="3">
        <v>4359</v>
      </c>
      <c r="O37" s="3">
        <v>5371</v>
      </c>
      <c r="P37" s="3">
        <v>5371</v>
      </c>
      <c r="Q37" s="3">
        <f>+Q36*0.2</f>
        <v>6969.2555199999988</v>
      </c>
      <c r="R37" s="3">
        <f t="shared" ref="R37:AA37" si="19">+R36*0.2</f>
        <v>6867.0317907200006</v>
      </c>
      <c r="S37" s="3">
        <f t="shared" si="19"/>
        <v>6547.6734723875197</v>
      </c>
      <c r="T37" s="3">
        <f t="shared" si="19"/>
        <v>6457.9933096832447</v>
      </c>
      <c r="U37" s="3">
        <f t="shared" si="19"/>
        <v>6163.9155265787695</v>
      </c>
      <c r="V37" s="3">
        <f t="shared" si="19"/>
        <v>5806.0640204051724</v>
      </c>
      <c r="W37" s="3">
        <f t="shared" si="19"/>
        <v>5281.7320350938826</v>
      </c>
      <c r="X37" s="3">
        <f t="shared" si="19"/>
        <v>4973.0246570416202</v>
      </c>
      <c r="Y37" s="3">
        <f t="shared" si="19"/>
        <v>4513.5456808371318</v>
      </c>
      <c r="Z37" s="3">
        <f t="shared" si="19"/>
        <v>4248.1685321253672</v>
      </c>
      <c r="AA37" s="3">
        <f t="shared" si="19"/>
        <v>3846.2431683825835</v>
      </c>
    </row>
    <row r="38" spans="2:91" s="3" customFormat="1" x14ac:dyDescent="0.2">
      <c r="B38" s="3" t="s">
        <v>25</v>
      </c>
      <c r="C38" s="4">
        <f>+C36-C37</f>
        <v>6937</v>
      </c>
      <c r="D38" s="4">
        <f>+D36-D37</f>
        <v>7712</v>
      </c>
      <c r="E38" s="4"/>
      <c r="F38" s="4"/>
      <c r="G38" s="4">
        <f>+G36-G37</f>
        <v>7030</v>
      </c>
      <c r="H38" s="4">
        <f>+H36-H37</f>
        <v>7813</v>
      </c>
      <c r="I38" s="4">
        <f t="shared" ref="I38:J38" si="20">+I36-I37</f>
        <v>7813</v>
      </c>
      <c r="J38" s="4">
        <f t="shared" si="20"/>
        <v>7813</v>
      </c>
      <c r="K38" s="4"/>
      <c r="M38" s="3">
        <f>+M36-M37</f>
        <v>25081</v>
      </c>
      <c r="N38" s="3">
        <f>+N36-N37</f>
        <v>28190</v>
      </c>
      <c r="O38" s="3">
        <f>+O36-O37</f>
        <v>28191</v>
      </c>
      <c r="P38" s="3">
        <f t="shared" ref="P38:AA38" si="21">+P36-P37</f>
        <v>28481.399999999994</v>
      </c>
      <c r="Q38" s="3">
        <f t="shared" si="21"/>
        <v>27877.022079999995</v>
      </c>
      <c r="R38" s="3">
        <f t="shared" si="21"/>
        <v>27468.127162880002</v>
      </c>
      <c r="S38" s="3">
        <f t="shared" si="21"/>
        <v>26190.693889550079</v>
      </c>
      <c r="T38" s="3">
        <f t="shared" si="21"/>
        <v>25831.973238732979</v>
      </c>
      <c r="U38" s="3">
        <f t="shared" si="21"/>
        <v>24655.662106315074</v>
      </c>
      <c r="V38" s="3">
        <f t="shared" si="21"/>
        <v>23224.25608162069</v>
      </c>
      <c r="W38" s="3">
        <f t="shared" si="21"/>
        <v>21126.92814037553</v>
      </c>
      <c r="X38" s="3">
        <f t="shared" si="21"/>
        <v>19892.098628166477</v>
      </c>
      <c r="Y38" s="3">
        <f t="shared" si="21"/>
        <v>18054.182723348527</v>
      </c>
      <c r="Z38" s="3">
        <f t="shared" si="21"/>
        <v>16992.674128501465</v>
      </c>
      <c r="AA38" s="3">
        <f t="shared" si="21"/>
        <v>15384.972673530332</v>
      </c>
      <c r="AB38" s="3">
        <f>+AA38*(1+$AD$43)</f>
        <v>15231.122946795029</v>
      </c>
      <c r="AC38" s="3">
        <f t="shared" ref="AC38:CM38" si="22">+AB38*(1+$AD$43)</f>
        <v>15078.811717327078</v>
      </c>
      <c r="AD38" s="3">
        <f t="shared" si="22"/>
        <v>14928.023600153807</v>
      </c>
      <c r="AE38" s="3">
        <f t="shared" si="22"/>
        <v>14778.743364152269</v>
      </c>
      <c r="AF38" s="3">
        <f t="shared" si="22"/>
        <v>14630.955930510747</v>
      </c>
      <c r="AG38" s="3">
        <f t="shared" si="22"/>
        <v>14484.646371205639</v>
      </c>
      <c r="AH38" s="3">
        <f t="shared" si="22"/>
        <v>14339.799907493583</v>
      </c>
      <c r="AI38" s="3">
        <f t="shared" si="22"/>
        <v>14196.401908418648</v>
      </c>
      <c r="AJ38" s="3">
        <f t="shared" si="22"/>
        <v>14054.43788933446</v>
      </c>
      <c r="AK38" s="3">
        <f t="shared" si="22"/>
        <v>13913.893510441116</v>
      </c>
      <c r="AL38" s="3">
        <f t="shared" si="22"/>
        <v>13774.754575336705</v>
      </c>
      <c r="AM38" s="3">
        <f t="shared" si="22"/>
        <v>13637.007029583337</v>
      </c>
      <c r="AN38" s="3">
        <f t="shared" si="22"/>
        <v>13500.636959287503</v>
      </c>
      <c r="AO38" s="3">
        <f t="shared" si="22"/>
        <v>13365.630589694629</v>
      </c>
      <c r="AP38" s="3">
        <f t="shared" si="22"/>
        <v>13231.974283797683</v>
      </c>
      <c r="AQ38" s="3">
        <f t="shared" si="22"/>
        <v>13099.654540959706</v>
      </c>
      <c r="AR38" s="3">
        <f t="shared" si="22"/>
        <v>12968.657995550109</v>
      </c>
      <c r="AS38" s="3">
        <f t="shared" si="22"/>
        <v>12838.971415594608</v>
      </c>
      <c r="AT38" s="3">
        <f t="shared" si="22"/>
        <v>12710.581701438661</v>
      </c>
      <c r="AU38" s="3">
        <f t="shared" si="22"/>
        <v>12583.475884424275</v>
      </c>
      <c r="AV38" s="3">
        <f t="shared" si="22"/>
        <v>12457.641125580032</v>
      </c>
      <c r="AW38" s="3">
        <f t="shared" si="22"/>
        <v>12333.064714324231</v>
      </c>
      <c r="AX38" s="3">
        <f t="shared" si="22"/>
        <v>12209.734067180989</v>
      </c>
      <c r="AY38" s="3">
        <f t="shared" si="22"/>
        <v>12087.636726509179</v>
      </c>
      <c r="AZ38" s="3">
        <f t="shared" si="22"/>
        <v>11966.760359244088</v>
      </c>
      <c r="BA38" s="3">
        <f t="shared" si="22"/>
        <v>11847.092755651647</v>
      </c>
      <c r="BB38" s="3">
        <f t="shared" si="22"/>
        <v>11728.621828095131</v>
      </c>
      <c r="BC38" s="3">
        <f t="shared" si="22"/>
        <v>11611.335609814179</v>
      </c>
      <c r="BD38" s="3">
        <f t="shared" si="22"/>
        <v>11495.222253716038</v>
      </c>
      <c r="BE38" s="3">
        <f t="shared" si="22"/>
        <v>11380.270031178878</v>
      </c>
      <c r="BF38" s="3">
        <f t="shared" si="22"/>
        <v>11266.467330867088</v>
      </c>
      <c r="BG38" s="3">
        <f t="shared" si="22"/>
        <v>11153.802657558417</v>
      </c>
      <c r="BH38" s="3">
        <f t="shared" si="22"/>
        <v>11042.264630982832</v>
      </c>
      <c r="BI38" s="3">
        <f t="shared" si="22"/>
        <v>10931.841984673005</v>
      </c>
      <c r="BJ38" s="3">
        <f t="shared" si="22"/>
        <v>10822.523564826275</v>
      </c>
      <c r="BK38" s="3">
        <f t="shared" si="22"/>
        <v>10714.298329178013</v>
      </c>
      <c r="BL38" s="3">
        <f t="shared" si="22"/>
        <v>10607.155345886233</v>
      </c>
      <c r="BM38" s="3">
        <f t="shared" si="22"/>
        <v>10501.083792427371</v>
      </c>
      <c r="BN38" s="3">
        <f t="shared" si="22"/>
        <v>10396.072954503097</v>
      </c>
      <c r="BO38" s="3">
        <f t="shared" si="22"/>
        <v>10292.112224958066</v>
      </c>
      <c r="BP38" s="3">
        <f t="shared" si="22"/>
        <v>10189.191102708484</v>
      </c>
      <c r="BQ38" s="3">
        <f t="shared" si="22"/>
        <v>10087.299191681399</v>
      </c>
      <c r="BR38" s="3">
        <f t="shared" si="22"/>
        <v>9986.4261997645845</v>
      </c>
      <c r="BS38" s="3">
        <f t="shared" si="22"/>
        <v>9886.5619377669391</v>
      </c>
      <c r="BT38" s="3">
        <f t="shared" si="22"/>
        <v>9787.6963183892694</v>
      </c>
      <c r="BU38" s="3">
        <f t="shared" si="22"/>
        <v>9689.8193552053763</v>
      </c>
      <c r="BV38" s="3">
        <f t="shared" si="22"/>
        <v>9592.921161653323</v>
      </c>
      <c r="BW38" s="3">
        <f t="shared" si="22"/>
        <v>9496.9919500367905</v>
      </c>
      <c r="BX38" s="3">
        <f t="shared" si="22"/>
        <v>9402.0220305364219</v>
      </c>
      <c r="BY38" s="3">
        <f t="shared" si="22"/>
        <v>9308.0018102310569</v>
      </c>
      <c r="BZ38" s="3">
        <f t="shared" si="22"/>
        <v>9214.9217921287454</v>
      </c>
      <c r="CA38" s="3">
        <f t="shared" si="22"/>
        <v>9122.7725742074581</v>
      </c>
      <c r="CB38" s="3">
        <f t="shared" si="22"/>
        <v>9031.5448484653825</v>
      </c>
      <c r="CC38" s="3">
        <f t="shared" si="22"/>
        <v>8941.229399980728</v>
      </c>
      <c r="CD38" s="3">
        <f t="shared" si="22"/>
        <v>8851.817105980921</v>
      </c>
      <c r="CE38" s="3">
        <f t="shared" si="22"/>
        <v>8763.2989349211111</v>
      </c>
      <c r="CF38" s="3">
        <f t="shared" si="22"/>
        <v>8675.6659455719</v>
      </c>
      <c r="CG38" s="3">
        <f t="shared" si="22"/>
        <v>8588.9092861161807</v>
      </c>
      <c r="CH38" s="3">
        <f t="shared" si="22"/>
        <v>8503.020193255019</v>
      </c>
      <c r="CI38" s="3">
        <f t="shared" si="22"/>
        <v>8417.989991322469</v>
      </c>
      <c r="CJ38" s="3">
        <f t="shared" si="22"/>
        <v>8333.8100914092447</v>
      </c>
      <c r="CK38" s="3">
        <f t="shared" si="22"/>
        <v>8250.4719904951526</v>
      </c>
      <c r="CL38" s="3">
        <f t="shared" si="22"/>
        <v>8167.9672705902012</v>
      </c>
      <c r="CM38" s="3">
        <f t="shared" si="22"/>
        <v>8086.2875978842994</v>
      </c>
    </row>
    <row r="39" spans="2:91" x14ac:dyDescent="0.2">
      <c r="B39" s="1" t="s">
        <v>28</v>
      </c>
      <c r="M39" s="8">
        <f>+M38/M40</f>
        <v>5.3891276321443922</v>
      </c>
      <c r="N39" s="8">
        <f>+N38/N40</f>
        <v>6.3634311512415351</v>
      </c>
      <c r="O39" s="8">
        <f>+O38/O40</f>
        <v>6.7962873674059789</v>
      </c>
      <c r="P39" s="8">
        <f t="shared" ref="P39:AA39" si="23">+P38/P40</f>
        <v>6.8662970106075205</v>
      </c>
      <c r="Q39" s="8">
        <f t="shared" si="23"/>
        <v>6.7205935583413678</v>
      </c>
      <c r="R39" s="8">
        <f t="shared" si="23"/>
        <v>6.6220171559498562</v>
      </c>
      <c r="S39" s="8">
        <f t="shared" si="23"/>
        <v>6.3140534931412917</v>
      </c>
      <c r="T39" s="8">
        <f t="shared" si="23"/>
        <v>6.227573104805443</v>
      </c>
      <c r="U39" s="8">
        <f t="shared" si="23"/>
        <v>5.9439879716285136</v>
      </c>
      <c r="V39" s="8">
        <f t="shared" si="23"/>
        <v>5.5989045519818443</v>
      </c>
      <c r="W39" s="8">
        <f t="shared" si="23"/>
        <v>5.0932806510066371</v>
      </c>
      <c r="X39" s="8">
        <f t="shared" si="23"/>
        <v>4.7955879045724394</v>
      </c>
      <c r="Y39" s="8">
        <f t="shared" si="23"/>
        <v>4.3525030673453537</v>
      </c>
      <c r="Z39" s="8">
        <f t="shared" si="23"/>
        <v>4.0965945343542582</v>
      </c>
      <c r="AA39" s="8">
        <f t="shared" si="23"/>
        <v>3.7090098055762613</v>
      </c>
    </row>
    <row r="40" spans="2:91" s="3" customFormat="1" x14ac:dyDescent="0.2">
      <c r="B40" s="3" t="s">
        <v>1</v>
      </c>
      <c r="C40" s="4"/>
      <c r="D40" s="4"/>
      <c r="E40" s="4"/>
      <c r="F40" s="4"/>
      <c r="G40" s="4"/>
      <c r="H40" s="4"/>
      <c r="I40" s="4"/>
      <c r="J40" s="4"/>
      <c r="K40" s="4"/>
      <c r="M40" s="3">
        <v>4654</v>
      </c>
      <c r="N40" s="3">
        <v>4430</v>
      </c>
      <c r="O40" s="3">
        <v>4148</v>
      </c>
      <c r="P40" s="3">
        <v>4148</v>
      </c>
      <c r="Q40" s="3">
        <f>+P40</f>
        <v>4148</v>
      </c>
      <c r="R40" s="3">
        <f t="shared" ref="R40:AA40" si="24">+Q40</f>
        <v>4148</v>
      </c>
      <c r="S40" s="3">
        <f t="shared" si="24"/>
        <v>4148</v>
      </c>
      <c r="T40" s="3">
        <f t="shared" si="24"/>
        <v>4148</v>
      </c>
      <c r="U40" s="3">
        <f t="shared" si="24"/>
        <v>4148</v>
      </c>
      <c r="V40" s="3">
        <f t="shared" si="24"/>
        <v>4148</v>
      </c>
      <c r="W40" s="3">
        <f t="shared" si="24"/>
        <v>4148</v>
      </c>
      <c r="X40" s="3">
        <f t="shared" si="24"/>
        <v>4148</v>
      </c>
      <c r="Y40" s="3">
        <f t="shared" si="24"/>
        <v>4148</v>
      </c>
      <c r="Z40" s="3">
        <f t="shared" si="24"/>
        <v>4148</v>
      </c>
      <c r="AA40" s="3">
        <f t="shared" si="24"/>
        <v>4148</v>
      </c>
    </row>
    <row r="42" spans="2:91" x14ac:dyDescent="0.2">
      <c r="B42" s="1" t="s">
        <v>26</v>
      </c>
      <c r="G42" s="7">
        <f>+G28/C28-1</f>
        <v>1.2360648007813779E-2</v>
      </c>
      <c r="H42" s="7">
        <f>+H28/D28-1</f>
        <v>-2.7037656081014605E-2</v>
      </c>
      <c r="N42" s="9">
        <f>+N28/M28-1</f>
        <v>4.3321733900416826E-2</v>
      </c>
      <c r="O42" s="9">
        <f>+O28/N28-1</f>
        <v>1.1941331005460576E-3</v>
      </c>
    </row>
    <row r="43" spans="2:91" x14ac:dyDescent="0.2">
      <c r="B43" s="1" t="s">
        <v>27</v>
      </c>
      <c r="C43" s="7">
        <f>+C30/C28</f>
        <v>0.69674312081102019</v>
      </c>
      <c r="D43" s="7">
        <f>+D30/D28</f>
        <v>0.70999246222921375</v>
      </c>
      <c r="G43" s="7">
        <f>+G30/G28</f>
        <v>0.70646749617406346</v>
      </c>
      <c r="H43" s="7">
        <f>+H30/H28</f>
        <v>0.73184451630288327</v>
      </c>
      <c r="M43" s="7">
        <f>+M30/M28</f>
        <v>0.66963096618980111</v>
      </c>
      <c r="N43" s="7">
        <f>+N30/N28</f>
        <v>0.68530063330231328</v>
      </c>
      <c r="O43" s="7">
        <f>+O30/O28</f>
        <v>0.69761129207383277</v>
      </c>
      <c r="P43" s="7">
        <f>+P30/P28</f>
        <v>0.7</v>
      </c>
      <c r="AC43" s="11" t="s">
        <v>98</v>
      </c>
      <c r="AD43" s="12">
        <v>-0.01</v>
      </c>
    </row>
    <row r="44" spans="2:91" x14ac:dyDescent="0.2">
      <c r="AC44" s="11" t="s">
        <v>95</v>
      </c>
      <c r="AD44" s="12">
        <v>0.02</v>
      </c>
    </row>
    <row r="45" spans="2:91" x14ac:dyDescent="0.2">
      <c r="B45" s="1" t="s">
        <v>38</v>
      </c>
      <c r="G45" s="4">
        <f>+G46-G60</f>
        <v>-80510</v>
      </c>
      <c r="H45" s="4">
        <f>+H46-H60</f>
        <v>-82892</v>
      </c>
      <c r="I45" s="4">
        <f>+H45+I38</f>
        <v>-75079</v>
      </c>
      <c r="J45" s="4">
        <f>+I45+J38</f>
        <v>-67266</v>
      </c>
      <c r="K45" s="4"/>
      <c r="O45" s="3">
        <f>+J45</f>
        <v>-67266</v>
      </c>
      <c r="P45" s="3">
        <f t="shared" ref="P45:AA45" si="25">+O45+P38</f>
        <v>-38784.600000000006</v>
      </c>
      <c r="Q45" s="3">
        <f t="shared" si="25"/>
        <v>-10907.577920000011</v>
      </c>
      <c r="R45" s="3">
        <f t="shared" si="25"/>
        <v>16560.549242879992</v>
      </c>
      <c r="S45" s="3">
        <f t="shared" si="25"/>
        <v>42751.243132430071</v>
      </c>
      <c r="T45" s="3">
        <f t="shared" si="25"/>
        <v>68583.216371163056</v>
      </c>
      <c r="U45" s="3">
        <f t="shared" si="25"/>
        <v>93238.878477478138</v>
      </c>
      <c r="V45" s="3">
        <f t="shared" si="25"/>
        <v>116463.13455909883</v>
      </c>
      <c r="W45" s="3">
        <f t="shared" si="25"/>
        <v>137590.06269947437</v>
      </c>
      <c r="X45" s="3">
        <f t="shared" si="25"/>
        <v>157482.16132764085</v>
      </c>
      <c r="Y45" s="3">
        <f t="shared" si="25"/>
        <v>175536.34405098937</v>
      </c>
      <c r="Z45" s="3">
        <f t="shared" si="25"/>
        <v>192529.01817949084</v>
      </c>
      <c r="AA45" s="3">
        <f t="shared" si="25"/>
        <v>207913.99085302118</v>
      </c>
      <c r="AC45" s="11" t="s">
        <v>96</v>
      </c>
      <c r="AD45" s="12">
        <v>0.08</v>
      </c>
    </row>
    <row r="46" spans="2:91" x14ac:dyDescent="0.2">
      <c r="B46" s="1" t="s">
        <v>3</v>
      </c>
      <c r="G46" s="4">
        <f>6515+9548</f>
        <v>16063</v>
      </c>
      <c r="H46" s="4">
        <f>6065+9171</f>
        <v>15236</v>
      </c>
      <c r="AC46" s="11" t="s">
        <v>97</v>
      </c>
      <c r="AD46" s="5">
        <f>NPV(AD45,Q38:BH38)+Main!$J$5-Main!$J$6</f>
        <v>152710.76758942197</v>
      </c>
    </row>
    <row r="47" spans="2:91" x14ac:dyDescent="0.2">
      <c r="B47" s="1" t="s">
        <v>39</v>
      </c>
      <c r="G47" s="4">
        <v>13144</v>
      </c>
      <c r="H47" s="4">
        <v>13167</v>
      </c>
      <c r="AC47" s="11" t="s">
        <v>99</v>
      </c>
      <c r="AD47" s="13">
        <f>AD46/Main!$J$3</f>
        <v>40.48988472164914</v>
      </c>
    </row>
    <row r="48" spans="2:91" x14ac:dyDescent="0.2">
      <c r="B48" s="1" t="s">
        <v>40</v>
      </c>
      <c r="G48" s="4">
        <v>4319</v>
      </c>
      <c r="H48" s="4">
        <v>4220</v>
      </c>
      <c r="AC48" s="11" t="s">
        <v>110</v>
      </c>
      <c r="AD48" s="12">
        <f>AD47/Main!J2-1</f>
        <v>0.19087896240144531</v>
      </c>
    </row>
    <row r="49" spans="2:8" x14ac:dyDescent="0.2">
      <c r="B49" s="1" t="s">
        <v>41</v>
      </c>
      <c r="G49" s="4">
        <v>12757</v>
      </c>
      <c r="H49" s="4">
        <v>12853</v>
      </c>
    </row>
    <row r="50" spans="2:8" x14ac:dyDescent="0.2">
      <c r="B50" s="1" t="s">
        <v>42</v>
      </c>
      <c r="G50" s="4">
        <v>59918</v>
      </c>
      <c r="H50" s="4">
        <v>60507</v>
      </c>
    </row>
    <row r="51" spans="2:8" x14ac:dyDescent="0.2">
      <c r="B51" s="1" t="s">
        <v>43</v>
      </c>
      <c r="G51" s="4">
        <f>58668+27063</f>
        <v>85731</v>
      </c>
      <c r="H51" s="4">
        <f>58376+26363</f>
        <v>84739</v>
      </c>
    </row>
    <row r="52" spans="2:8" x14ac:dyDescent="0.2">
      <c r="B52" s="1" t="s">
        <v>46</v>
      </c>
      <c r="G52" s="4">
        <v>59365</v>
      </c>
      <c r="H52" s="4">
        <v>59365</v>
      </c>
    </row>
    <row r="53" spans="2:8" x14ac:dyDescent="0.2">
      <c r="B53" s="1" t="s">
        <v>45</v>
      </c>
      <c r="G53" s="4">
        <v>12304</v>
      </c>
      <c r="H53" s="4">
        <v>12468</v>
      </c>
    </row>
    <row r="54" spans="2:8" x14ac:dyDescent="0.2">
      <c r="B54" s="1" t="s">
        <v>44</v>
      </c>
      <c r="G54" s="4">
        <f>SUM(G46:G53)</f>
        <v>263601</v>
      </c>
      <c r="H54" s="4">
        <f>SUM(H46:H53)</f>
        <v>262555</v>
      </c>
    </row>
    <row r="55" spans="2:8" x14ac:dyDescent="0.2">
      <c r="G55" s="4"/>
      <c r="H55" s="4"/>
    </row>
    <row r="56" spans="2:8" x14ac:dyDescent="0.2">
      <c r="B56" s="1" t="s">
        <v>47</v>
      </c>
      <c r="G56" s="4">
        <v>11792</v>
      </c>
      <c r="H56" s="4">
        <v>11736</v>
      </c>
    </row>
    <row r="57" spans="2:8" x14ac:dyDescent="0.2">
      <c r="B57" s="1" t="s">
        <v>48</v>
      </c>
      <c r="G57" s="4">
        <v>1583</v>
      </c>
      <c r="H57" s="4">
        <v>1520</v>
      </c>
    </row>
    <row r="58" spans="2:8" x14ac:dyDescent="0.2">
      <c r="B58" s="1" t="s">
        <v>49</v>
      </c>
      <c r="G58" s="4">
        <v>3446</v>
      </c>
      <c r="H58" s="4">
        <v>3943</v>
      </c>
    </row>
    <row r="59" spans="2:8" x14ac:dyDescent="0.2">
      <c r="B59" s="1" t="s">
        <v>50</v>
      </c>
      <c r="G59" s="4">
        <v>11834</v>
      </c>
      <c r="H59" s="4">
        <v>7955</v>
      </c>
    </row>
    <row r="60" spans="2:8" x14ac:dyDescent="0.2">
      <c r="B60" s="1" t="s">
        <v>4</v>
      </c>
      <c r="G60" s="4">
        <f>2502+94071</f>
        <v>96573</v>
      </c>
      <c r="H60" s="4">
        <f>1021+97107</f>
        <v>98128</v>
      </c>
    </row>
    <row r="61" spans="2:8" x14ac:dyDescent="0.2">
      <c r="B61" s="1" t="s">
        <v>54</v>
      </c>
      <c r="G61" s="4">
        <v>9167</v>
      </c>
      <c r="H61" s="4">
        <v>9167</v>
      </c>
    </row>
    <row r="62" spans="2:8" x14ac:dyDescent="0.2">
      <c r="B62" s="1" t="s">
        <v>33</v>
      </c>
      <c r="G62" s="4">
        <v>25978</v>
      </c>
      <c r="H62" s="4">
        <v>26252</v>
      </c>
    </row>
    <row r="63" spans="2:8" x14ac:dyDescent="0.2">
      <c r="B63" s="1" t="s">
        <v>51</v>
      </c>
      <c r="G63" s="4">
        <v>19935</v>
      </c>
      <c r="H63" s="4">
        <v>19914</v>
      </c>
    </row>
    <row r="64" spans="2:8" x14ac:dyDescent="0.2">
      <c r="B64" s="1" t="s">
        <v>52</v>
      </c>
      <c r="G64" s="4">
        <f>83049+243</f>
        <v>83292</v>
      </c>
      <c r="H64" s="4">
        <f>236+83704</f>
        <v>83940</v>
      </c>
    </row>
    <row r="65" spans="2:15" x14ac:dyDescent="0.2">
      <c r="B65" s="1" t="s">
        <v>53</v>
      </c>
      <c r="G65" s="4">
        <f>SUM(G56:G64)</f>
        <v>263600</v>
      </c>
      <c r="H65" s="4">
        <f>SUM(H56:H64)</f>
        <v>262555</v>
      </c>
    </row>
    <row r="67" spans="2:15" x14ac:dyDescent="0.2">
      <c r="B67" s="1" t="s">
        <v>30</v>
      </c>
      <c r="G67" s="4">
        <f>+G38</f>
        <v>7030</v>
      </c>
      <c r="H67" s="4">
        <f>+H38</f>
        <v>7813</v>
      </c>
    </row>
    <row r="68" spans="2:15" x14ac:dyDescent="0.2">
      <c r="B68" s="1" t="s">
        <v>31</v>
      </c>
      <c r="G68" s="4">
        <v>3777</v>
      </c>
    </row>
    <row r="69" spans="2:15" x14ac:dyDescent="0.2">
      <c r="B69" s="1" t="s">
        <v>37</v>
      </c>
      <c r="G69" s="4">
        <v>3551</v>
      </c>
    </row>
    <row r="70" spans="2:15" x14ac:dyDescent="0.2">
      <c r="B70" s="1" t="s">
        <v>36</v>
      </c>
      <c r="G70" s="4">
        <v>373</v>
      </c>
    </row>
    <row r="71" spans="2:15" x14ac:dyDescent="0.2">
      <c r="B71" s="1" t="s">
        <v>35</v>
      </c>
      <c r="G71" s="4">
        <v>103</v>
      </c>
    </row>
    <row r="72" spans="2:15" x14ac:dyDescent="0.2">
      <c r="B72" s="1" t="s">
        <v>34</v>
      </c>
      <c r="G72" s="4">
        <v>-164</v>
      </c>
    </row>
    <row r="73" spans="2:15" x14ac:dyDescent="0.2">
      <c r="B73" s="1" t="s">
        <v>33</v>
      </c>
      <c r="G73" s="4">
        <v>-17</v>
      </c>
    </row>
    <row r="74" spans="2:15" x14ac:dyDescent="0.2">
      <c r="B74" s="1" t="s">
        <v>32</v>
      </c>
      <c r="G74" s="4">
        <f>643+124-446-97</f>
        <v>224</v>
      </c>
    </row>
    <row r="75" spans="2:15" x14ac:dyDescent="0.2">
      <c r="B75" s="1" t="s">
        <v>29</v>
      </c>
      <c r="G75" s="4">
        <f>SUM(G68:G74)</f>
        <v>7847</v>
      </c>
      <c r="M75" s="1">
        <v>29146</v>
      </c>
      <c r="N75" s="1">
        <v>26413</v>
      </c>
      <c r="O75" s="1">
        <v>28501</v>
      </c>
    </row>
    <row r="77" spans="2:15" x14ac:dyDescent="0.2">
      <c r="M77" s="1">
        <v>9174</v>
      </c>
      <c r="N77" s="1">
        <v>10626</v>
      </c>
      <c r="O77" s="1">
        <v>12242</v>
      </c>
    </row>
    <row r="78" spans="2:15" x14ac:dyDescent="0.2">
      <c r="B78" s="1" t="s">
        <v>94</v>
      </c>
      <c r="M78" s="1">
        <f>+M75-M77</f>
        <v>19972</v>
      </c>
      <c r="N78" s="1">
        <f>+N75-N77</f>
        <v>15787</v>
      </c>
      <c r="O78" s="1">
        <f>+O75-O77</f>
        <v>16259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2024-09-18T01:20:26Z</dcterms:created>
  <dcterms:modified xsi:type="dcterms:W3CDTF">2025-10-08T14:15:45Z</dcterms:modified>
</cp:coreProperties>
</file>