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B9C413E-F7EC-49BC-94DC-A133DBA5989C}" xr6:coauthVersionLast="47" xr6:coauthVersionMax="47" xr10:uidLastSave="{00000000-0000-0000-0000-000000000000}"/>
  <bookViews>
    <workbookView xWindow="4020" yWindow="4020" windowWidth="18075" windowHeight="16020" activeTab="1" xr2:uid="{6C567CA9-0E11-4C72-97D0-DE6EA1E5BA4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2" l="1"/>
  <c r="J50" i="2" s="1"/>
  <c r="I49" i="2"/>
  <c r="V27" i="2"/>
  <c r="U27" i="2"/>
  <c r="T27" i="2"/>
  <c r="R27" i="2"/>
  <c r="F18" i="2"/>
  <c r="F13" i="2"/>
  <c r="F15" i="2" s="1"/>
  <c r="F17" i="2" s="1"/>
  <c r="J18" i="2"/>
  <c r="G51" i="2"/>
  <c r="K51" i="2"/>
  <c r="G18" i="2"/>
  <c r="K18" i="2"/>
  <c r="G13" i="2"/>
  <c r="K42" i="2"/>
  <c r="K47" i="2" s="1"/>
  <c r="K37" i="2"/>
  <c r="K29" i="2"/>
  <c r="K39" i="2" s="1"/>
  <c r="K13" i="2"/>
  <c r="K15" i="2" s="1"/>
  <c r="K27" i="2" s="1"/>
  <c r="Q55" i="2"/>
  <c r="P55" i="2"/>
  <c r="Q51" i="2"/>
  <c r="P51" i="2"/>
  <c r="Q13" i="2"/>
  <c r="Q15" i="2" s="1"/>
  <c r="Q17" i="2" s="1"/>
  <c r="Q19" i="2" s="1"/>
  <c r="Q21" i="2" s="1"/>
  <c r="Q22" i="2" s="1"/>
  <c r="P13" i="2"/>
  <c r="P15" i="2" s="1"/>
  <c r="P17" i="2" s="1"/>
  <c r="P19" i="2" s="1"/>
  <c r="P21" i="2" s="1"/>
  <c r="P22" i="2" s="1"/>
  <c r="R55" i="2"/>
  <c r="R51" i="2"/>
  <c r="R13" i="2"/>
  <c r="R15" i="2" s="1"/>
  <c r="R17" i="2" s="1"/>
  <c r="R19" i="2" s="1"/>
  <c r="R21" i="2" s="1"/>
  <c r="R22" i="2" s="1"/>
  <c r="S55" i="2"/>
  <c r="S51" i="2"/>
  <c r="S13" i="2"/>
  <c r="S15" i="2" s="1"/>
  <c r="S17" i="2" s="1"/>
  <c r="S19" i="2" s="1"/>
  <c r="S21" i="2" s="1"/>
  <c r="S22" i="2" s="1"/>
  <c r="V55" i="2"/>
  <c r="U55" i="2"/>
  <c r="T55" i="2"/>
  <c r="V51" i="2"/>
  <c r="U51" i="2"/>
  <c r="T51" i="2"/>
  <c r="T13" i="2"/>
  <c r="T15" i="2" s="1"/>
  <c r="T17" i="2" s="1"/>
  <c r="T19" i="2" s="1"/>
  <c r="T21" i="2" s="1"/>
  <c r="T22" i="2" s="1"/>
  <c r="U13" i="2"/>
  <c r="U15" i="2" s="1"/>
  <c r="U17" i="2" s="1"/>
  <c r="U19" i="2" s="1"/>
  <c r="U21" i="2" s="1"/>
  <c r="U22" i="2" s="1"/>
  <c r="V13" i="2"/>
  <c r="V15" i="2" s="1"/>
  <c r="V17" i="2" s="1"/>
  <c r="V19" i="2" s="1"/>
  <c r="V21" i="2" s="1"/>
  <c r="V22" i="2" s="1"/>
  <c r="J13" i="2"/>
  <c r="J15" i="2" s="1"/>
  <c r="U2" i="2"/>
  <c r="V2" i="2" s="1"/>
  <c r="W2" i="2" s="1"/>
  <c r="X2" i="2" s="1"/>
  <c r="Y2" i="2" s="1"/>
  <c r="Z2" i="2" s="1"/>
  <c r="AA2" i="2" s="1"/>
  <c r="AB2" i="2" s="1"/>
  <c r="M3" i="1"/>
  <c r="M4" i="1" s="1"/>
  <c r="M7" i="1" s="1"/>
  <c r="E13" i="2"/>
  <c r="E15" i="2" s="1"/>
  <c r="E17" i="2" s="1"/>
  <c r="E19" i="2" s="1"/>
  <c r="E21" i="2" s="1"/>
  <c r="E22" i="2" s="1"/>
  <c r="I13" i="2"/>
  <c r="I15" i="2" s="1"/>
  <c r="I17" i="2" s="1"/>
  <c r="I19" i="2" s="1"/>
  <c r="I21" i="2" s="1"/>
  <c r="I22" i="2" s="1"/>
  <c r="D20" i="2"/>
  <c r="D18" i="2"/>
  <c r="D13" i="2"/>
  <c r="D15" i="2" s="1"/>
  <c r="D17" i="2" s="1"/>
  <c r="H51" i="2"/>
  <c r="H20" i="2"/>
  <c r="H18" i="2"/>
  <c r="H13" i="2"/>
  <c r="M6" i="1"/>
  <c r="M5" i="1"/>
  <c r="J27" i="2" l="1"/>
  <c r="J17" i="2"/>
  <c r="J19" i="2" s="1"/>
  <c r="J21" i="2" s="1"/>
  <c r="J22" i="2" s="1"/>
  <c r="I27" i="2"/>
  <c r="K17" i="2"/>
  <c r="K19" i="2" s="1"/>
  <c r="K21" i="2" s="1"/>
  <c r="K22" i="2" s="1"/>
  <c r="D27" i="2"/>
  <c r="E27" i="2"/>
  <c r="F27" i="2"/>
  <c r="Q27" i="2"/>
  <c r="P27" i="2"/>
  <c r="S27" i="2"/>
  <c r="I51" i="2"/>
  <c r="J49" i="2"/>
  <c r="J51" i="2" s="1"/>
  <c r="F19" i="2"/>
  <c r="F21" i="2" s="1"/>
  <c r="F22" i="2" s="1"/>
  <c r="J26" i="2"/>
  <c r="K26" i="2"/>
  <c r="G15" i="2"/>
  <c r="Q26" i="2"/>
  <c r="R26" i="2"/>
  <c r="S26" i="2"/>
  <c r="H26" i="2"/>
  <c r="T26" i="2"/>
  <c r="V26" i="2"/>
  <c r="U26" i="2"/>
  <c r="I26" i="2"/>
  <c r="D19" i="2"/>
  <c r="D21" i="2" s="1"/>
  <c r="D22" i="2" s="1"/>
  <c r="H15" i="2"/>
  <c r="H17" i="2" l="1"/>
  <c r="H19" i="2" s="1"/>
  <c r="H21" i="2" s="1"/>
  <c r="H22" i="2" s="1"/>
  <c r="H27" i="2"/>
  <c r="G17" i="2"/>
  <c r="G19" i="2" s="1"/>
  <c r="G21" i="2" s="1"/>
  <c r="G22" i="2" s="1"/>
  <c r="G27" i="2"/>
</calcChain>
</file>

<file path=xl/sharedStrings.xml><?xml version="1.0" encoding="utf-8"?>
<sst xmlns="http://schemas.openxmlformats.org/spreadsheetml/2006/main" count="72" uniqueCount="65">
  <si>
    <t>Shares</t>
  </si>
  <si>
    <t>Price</t>
  </si>
  <si>
    <t>MC</t>
  </si>
  <si>
    <t>Cash</t>
  </si>
  <si>
    <t>Debt</t>
  </si>
  <si>
    <t>EV</t>
  </si>
  <si>
    <t>Main</t>
  </si>
  <si>
    <t>Retail vehicle</t>
  </si>
  <si>
    <t>Wholesale vehicle</t>
  </si>
  <si>
    <t>Other sales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</si>
  <si>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</si>
  <si>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</si>
  <si>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</si>
  <si>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</si>
  <si>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</si>
  <si>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</si>
  <si>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</si>
  <si>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</si>
  <si>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</si>
  <si>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COGS</t>
  </si>
  <si>
    <t>Gross Profit</t>
  </si>
  <si>
    <t>SG&amp;A</t>
  </si>
  <si>
    <t>Interest Expense</t>
  </si>
  <si>
    <t>Operating Profit</t>
  </si>
  <si>
    <t>Pretax Income</t>
  </si>
  <si>
    <t>Taxes</t>
  </si>
  <si>
    <t>Net Income</t>
  </si>
  <si>
    <t>EPS</t>
  </si>
  <si>
    <t>FCF</t>
  </si>
  <si>
    <t>CFFO</t>
  </si>
  <si>
    <t>CX</t>
  </si>
  <si>
    <t>Revenue y/y</t>
  </si>
  <si>
    <t>36 million auto retail transactions/annually</t>
  </si>
  <si>
    <t>17m SAAR?</t>
  </si>
  <si>
    <t>2.2m vehicles since inception ($63.7B)</t>
  </si>
  <si>
    <t>53000 car inventory</t>
  </si>
  <si>
    <t>DriveTime?</t>
  </si>
  <si>
    <t>Company owns LLC units in Carvana Group.</t>
  </si>
  <si>
    <t>Cars</t>
  </si>
  <si>
    <t>Site Visits</t>
  </si>
  <si>
    <t>Inventory</t>
  </si>
  <si>
    <t>Q125</t>
  </si>
  <si>
    <t>Q225</t>
  </si>
  <si>
    <t>Q325</t>
  </si>
  <si>
    <t>Q425</t>
  </si>
  <si>
    <t>Originations</t>
  </si>
  <si>
    <t>Sales</t>
  </si>
  <si>
    <t>Net Origination</t>
  </si>
  <si>
    <t>Retail units sold</t>
  </si>
  <si>
    <t>AR</t>
  </si>
  <si>
    <t>Finance Receivables</t>
  </si>
  <si>
    <t>Assets</t>
  </si>
  <si>
    <t>Other</t>
  </si>
  <si>
    <t>Goodwill</t>
  </si>
  <si>
    <t>Lease</t>
  </si>
  <si>
    <t>PP&amp;E</t>
  </si>
  <si>
    <t>OCA</t>
  </si>
  <si>
    <t>Securitizations</t>
  </si>
  <si>
    <t>Vehicle Inventory</t>
  </si>
  <si>
    <t>AP</t>
  </si>
  <si>
    <t>OCL</t>
  </si>
  <si>
    <t>OL</t>
  </si>
  <si>
    <t>S/E</t>
  </si>
  <si>
    <t>L+SE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</si>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</sst>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left"/>
    </xf>
    <xf numFmtId="9" fontId="3" fillId="0" borderId="0" xfId="0" applyNumberFormat="1" applyFont="1"/>
    <xf numFmtId="3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A8547AC-0695-4148-B3B6-444A340EB1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36634</xdr:colOff>
      <xdr:row>0</xdr:row>
      <xdr:rowOff>39077</xdr:rowOff>
    </xdr:from>
    <xdr:to>
      <xdr:col>11</xdr:col>
      <xdr:colOff>36634</xdr:colOff>
      <xdr:row>65</xdr:row>
      <xdr:rowOff>122115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6AE8FF-2A60-9E9D-C7A6-78E35B187143}"/>
            </a:ext>
          </a:extLst>
        </xdr:cNvPr>
        <xdr:cNvCxnSpPr/>
      </xdr:nvCxnSpPr>
      <xdr:spPr>
        <a:xfrm>
          <a:off x="12145596" y="39077"/>
          <a:ext cx="0" cy="7996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5862</xdr:colOff>
      <xdr:row>0</xdr:row>
      <xdr:rowOff>0</xdr:rowOff>
    </xdr:from>
    <xdr:to>
      <xdr:col>22</xdr:col>
      <xdr:colOff>5862</xdr:colOff>
      <xdr:row>62</xdr:row>
      <xdr:rowOff>124558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84E69B9-C190-4EA3-950C-873384A6E89C}"/>
            </a:ext>
          </a:extLst>
        </xdr:cNvPr>
        <xdr:cNvCxnSpPr/>
      </xdr:nvCxnSpPr>
      <xdr:spPr>
        <a:xfrm>
          <a:off x="13502054" y="0"/>
          <a:ext cx="0" cy="70558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34F3-84EB-44A0-AF2C-DE464C798CE3}">
  <dimension ref="B2:N10"/>
  <sheetViews>
    <sheetView zoomScaleNormal="100" workbookViewId="0"/>
  </sheetViews>
  <sheetFormatPr defaultColWidth="8.7109375" defaultRowHeight="12.75" x14ac:dyDescent="0.2"/>
  <cols>
    <col min="1" max="1" width="4.140625" style="1" customWidth="1"/>
    <col min="2" max="16384" width="8.7109375" style="1"/>
  </cols>
  <sheetData>
    <row r="2" spans="2:14" x14ac:dyDescent="0.2">
      <c r="B2" s="15" t="s">
        <v>32</v>
      </c>
      <c r="L2" s="1" t="s">
        <v>1</v>
      </c>
      <c r="M2" s="2">
        <v>175</v>
      </c>
    </row>
    <row r="3" spans="2:14" x14ac:dyDescent="0.2">
      <c r="B3" s="15" t="s">
        <v>33</v>
      </c>
      <c r="L3" s="1" t="s">
        <v>0</v>
      </c>
      <c r="M3" s="3">
        <f>134.04688+79.119471</f>
        <v>213.16635099999999</v>
      </c>
      <c r="N3" s="16" t="s">
        <v>18</v>
      </c>
    </row>
    <row r="4" spans="2:14" x14ac:dyDescent="0.2">
      <c r="F4" s="15"/>
      <c r="L4" s="1" t="s">
        <v>2</v>
      </c>
      <c r="M4" s="3">
        <f>+M2*M3</f>
        <v>37304.111424999996</v>
      </c>
    </row>
    <row r="5" spans="2:14" x14ac:dyDescent="0.2">
      <c r="B5" s="15" t="s">
        <v>34</v>
      </c>
      <c r="L5" s="1" t="s">
        <v>3</v>
      </c>
      <c r="M5" s="3">
        <f>542+65</f>
        <v>607</v>
      </c>
      <c r="N5" s="16" t="s">
        <v>18</v>
      </c>
    </row>
    <row r="6" spans="2:14" x14ac:dyDescent="0.2">
      <c r="B6" s="15" t="s">
        <v>35</v>
      </c>
      <c r="L6" s="1" t="s">
        <v>4</v>
      </c>
      <c r="M6" s="3">
        <f>5428+203+72</f>
        <v>5703</v>
      </c>
      <c r="N6" s="16" t="s">
        <v>18</v>
      </c>
    </row>
    <row r="7" spans="2:14" x14ac:dyDescent="0.2">
      <c r="L7" s="1" t="s">
        <v>5</v>
      </c>
      <c r="M7" s="3">
        <f>+M4-M5+M6</f>
        <v>42400.111424999996</v>
      </c>
    </row>
    <row r="8" spans="2:14" x14ac:dyDescent="0.2">
      <c r="B8" s="15" t="s">
        <v>36</v>
      </c>
    </row>
    <row r="10" spans="2:14" x14ac:dyDescent="0.2">
      <c r="B10" s="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C054-99FF-4927-A84A-EBCDF5ACDC4F}">
  <dimension ref="A1:AB55"/>
  <sheetViews>
    <sheetView tabSelected="1" zoomScaleNormal="1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30" sqref="X30"/>
    </sheetView>
  </sheetViews>
  <sheetFormatPr defaultColWidth="8.7109375" defaultRowHeight="12.75" x14ac:dyDescent="0.2"/>
  <cols>
    <col min="1" max="1" width="4.7109375" style="1" bestFit="1" customWidth="1"/>
    <col min="2" max="2" width="20" style="4" customWidth="1"/>
    <col min="3" max="14" width="8.7109375" style="5"/>
    <col min="15" max="16384" width="8.7109375" style="1"/>
  </cols>
  <sheetData>
    <row r="1" spans="1:28" x14ac:dyDescent="0.2">
      <c r="A1" s="13" t="s">
        <v>6</v>
      </c>
    </row>
    <row r="2" spans="1:28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16" t="s">
        <v>41</v>
      </c>
      <c r="L2" s="16" t="s">
        <v>42</v>
      </c>
      <c r="M2" s="16" t="s">
        <v>43</v>
      </c>
      <c r="N2" s="16" t="s">
        <v>44</v>
      </c>
      <c r="P2" s="1">
        <v>2018</v>
      </c>
      <c r="Q2" s="1">
        <v>2019</v>
      </c>
      <c r="R2" s="1">
        <v>2020</v>
      </c>
      <c r="S2" s="1">
        <v>2021</v>
      </c>
      <c r="T2" s="1">
        <v>2022</v>
      </c>
      <c r="U2" s="1">
        <f t="shared" ref="U2:AB2" si="0">+T2+1</f>
        <v>2023</v>
      </c>
      <c r="V2" s="1">
        <f t="shared" si="0"/>
        <v>2024</v>
      </c>
      <c r="W2" s="1">
        <f t="shared" si="0"/>
        <v>2025</v>
      </c>
      <c r="X2" s="1">
        <f t="shared" si="0"/>
        <v>2026</v>
      </c>
      <c r="Y2" s="1">
        <f t="shared" si="0"/>
        <v>2027</v>
      </c>
      <c r="Z2" s="1">
        <f t="shared" si="0"/>
        <v>2028</v>
      </c>
      <c r="AA2" s="1">
        <f t="shared" si="0"/>
        <v>2029</v>
      </c>
      <c r="AB2" s="1">
        <f t="shared" si="0"/>
        <v>2030</v>
      </c>
    </row>
    <row r="3" spans="1:28" s="3" customFormat="1" x14ac:dyDescent="0.2">
      <c r="B3" s="17" t="s">
        <v>48</v>
      </c>
      <c r="C3" s="8">
        <v>79240</v>
      </c>
      <c r="D3" s="8">
        <v>76530</v>
      </c>
      <c r="E3" s="8">
        <v>80987</v>
      </c>
      <c r="F3" s="8">
        <v>76090</v>
      </c>
      <c r="G3" s="8">
        <v>91878</v>
      </c>
      <c r="H3" s="8">
        <v>101440</v>
      </c>
      <c r="I3" s="8">
        <v>108651</v>
      </c>
      <c r="J3" s="8">
        <v>114379</v>
      </c>
      <c r="K3" s="21">
        <v>133898</v>
      </c>
      <c r="L3" s="21"/>
      <c r="M3" s="21"/>
      <c r="N3" s="21"/>
    </row>
    <row r="4" spans="1:28" x14ac:dyDescent="0.2">
      <c r="K4" s="16"/>
      <c r="L4" s="16"/>
      <c r="M4" s="16"/>
      <c r="N4" s="16"/>
    </row>
    <row r="5" spans="1:28" x14ac:dyDescent="0.2">
      <c r="K5" s="16"/>
      <c r="L5" s="16"/>
      <c r="M5" s="16"/>
      <c r="N5" s="16"/>
    </row>
    <row r="6" spans="1:28" s="3" customFormat="1" x14ac:dyDescent="0.2">
      <c r="B6" s="17" t="s">
        <v>38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T6" s="3">
        <v>412296</v>
      </c>
      <c r="U6" s="3">
        <v>312847</v>
      </c>
      <c r="V6" s="3">
        <v>416348</v>
      </c>
    </row>
    <row r="7" spans="1:28" s="3" customFormat="1" x14ac:dyDescent="0.2">
      <c r="B7" s="17" t="s">
        <v>39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U7" s="3">
        <v>15819</v>
      </c>
      <c r="V7" s="3">
        <v>17248</v>
      </c>
    </row>
    <row r="8" spans="1:28" s="3" customFormat="1" x14ac:dyDescent="0.2">
      <c r="B8" s="17" t="s">
        <v>40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U8" s="3">
        <v>33075</v>
      </c>
      <c r="V8" s="3">
        <v>53360</v>
      </c>
    </row>
    <row r="10" spans="1:28" s="3" customFormat="1" x14ac:dyDescent="0.2">
      <c r="B10" s="7" t="s">
        <v>7</v>
      </c>
      <c r="C10" s="8"/>
      <c r="D10" s="8">
        <v>1961</v>
      </c>
      <c r="E10" s="8">
        <v>1949</v>
      </c>
      <c r="F10" s="8">
        <v>1777</v>
      </c>
      <c r="G10" s="8">
        <v>2175</v>
      </c>
      <c r="H10" s="8">
        <v>2411</v>
      </c>
      <c r="I10" s="8">
        <v>2543</v>
      </c>
      <c r="J10" s="8">
        <v>2522</v>
      </c>
      <c r="K10" s="8">
        <v>2980</v>
      </c>
      <c r="L10" s="8"/>
      <c r="M10" s="8"/>
      <c r="N10" s="8"/>
      <c r="P10" s="3">
        <v>1785.0450000000001</v>
      </c>
      <c r="Q10" s="3">
        <v>3420.6010000000001</v>
      </c>
      <c r="R10" s="3">
        <v>4741</v>
      </c>
      <c r="S10" s="3">
        <v>9851</v>
      </c>
      <c r="T10" s="3">
        <v>10254</v>
      </c>
      <c r="U10" s="3">
        <v>7514</v>
      </c>
      <c r="V10" s="3">
        <v>9681</v>
      </c>
    </row>
    <row r="11" spans="1:28" s="3" customFormat="1" x14ac:dyDescent="0.2">
      <c r="B11" s="7" t="s">
        <v>8</v>
      </c>
      <c r="C11" s="8"/>
      <c r="D11" s="8">
        <v>777</v>
      </c>
      <c r="E11" s="8">
        <v>610</v>
      </c>
      <c r="F11" s="8">
        <v>499</v>
      </c>
      <c r="G11" s="8">
        <v>657</v>
      </c>
      <c r="H11" s="8">
        <v>720</v>
      </c>
      <c r="I11" s="8">
        <v>786</v>
      </c>
      <c r="J11" s="8">
        <v>678</v>
      </c>
      <c r="K11" s="8">
        <v>863</v>
      </c>
      <c r="L11" s="8"/>
      <c r="M11" s="8"/>
      <c r="N11" s="8"/>
      <c r="P11" s="3">
        <v>73.584000000000003</v>
      </c>
      <c r="Q11" s="3">
        <v>267.58600000000001</v>
      </c>
      <c r="R11" s="3">
        <v>445</v>
      </c>
      <c r="S11" s="3">
        <v>1920</v>
      </c>
      <c r="T11" s="3">
        <v>2609</v>
      </c>
      <c r="U11" s="3">
        <v>2504</v>
      </c>
      <c r="V11" s="3">
        <v>2841</v>
      </c>
    </row>
    <row r="12" spans="1:28" s="3" customFormat="1" x14ac:dyDescent="0.2">
      <c r="B12" s="7" t="s">
        <v>9</v>
      </c>
      <c r="C12" s="8"/>
      <c r="D12" s="8">
        <v>230</v>
      </c>
      <c r="E12" s="8">
        <v>214</v>
      </c>
      <c r="F12" s="8">
        <v>148</v>
      </c>
      <c r="G12" s="8">
        <v>229</v>
      </c>
      <c r="H12" s="8">
        <v>279</v>
      </c>
      <c r="I12" s="8">
        <v>326</v>
      </c>
      <c r="J12" s="8">
        <v>317</v>
      </c>
      <c r="K12" s="8">
        <v>389</v>
      </c>
      <c r="L12" s="8"/>
      <c r="M12" s="8"/>
      <c r="N12" s="8"/>
      <c r="P12" s="3">
        <v>96.837999999999994</v>
      </c>
      <c r="Q12" s="3">
        <v>251.709</v>
      </c>
      <c r="R12" s="3">
        <v>401</v>
      </c>
      <c r="S12" s="3">
        <v>1043</v>
      </c>
      <c r="T12" s="3">
        <v>741</v>
      </c>
      <c r="U12" s="3">
        <v>753</v>
      </c>
      <c r="V12" s="3">
        <v>1151</v>
      </c>
    </row>
    <row r="13" spans="1:28" s="9" customFormat="1" x14ac:dyDescent="0.2">
      <c r="B13" s="10" t="s">
        <v>10</v>
      </c>
      <c r="C13" s="11"/>
      <c r="D13" s="11">
        <f>+D12+D11+D10</f>
        <v>2968</v>
      </c>
      <c r="E13" s="11">
        <f>+E12+E11+E10</f>
        <v>2773</v>
      </c>
      <c r="F13" s="11">
        <f t="shared" ref="F13" si="1">+F12+F11+F10</f>
        <v>2424</v>
      </c>
      <c r="G13" s="11">
        <f>+G12+G11+G10</f>
        <v>3061</v>
      </c>
      <c r="H13" s="11">
        <f>+H12+H11+H10</f>
        <v>3410</v>
      </c>
      <c r="I13" s="11">
        <f>+I12+I11+I10</f>
        <v>3655</v>
      </c>
      <c r="J13" s="11">
        <f>+J12+J11+J10</f>
        <v>3517</v>
      </c>
      <c r="K13" s="11">
        <f>+K12+K11+K10</f>
        <v>4232</v>
      </c>
      <c r="L13" s="11"/>
      <c r="M13" s="11"/>
      <c r="N13" s="11"/>
      <c r="P13" s="9">
        <f t="shared" ref="P13" si="2">+P12+P11+P10</f>
        <v>1955.4670000000001</v>
      </c>
      <c r="Q13" s="9">
        <f t="shared" ref="Q13" si="3">+Q12+Q11+Q10</f>
        <v>3939.8960000000002</v>
      </c>
      <c r="R13" s="9">
        <f t="shared" ref="R13" si="4">+R12+R11+R10</f>
        <v>5587</v>
      </c>
      <c r="S13" s="9">
        <f t="shared" ref="S13" si="5">+S12+S11+S10</f>
        <v>12814</v>
      </c>
      <c r="T13" s="9">
        <f>+T12+T11+T10</f>
        <v>13604</v>
      </c>
      <c r="U13" s="9">
        <f>+U12+U11+U10</f>
        <v>10771</v>
      </c>
      <c r="V13" s="9">
        <f>+V12+V11+V10</f>
        <v>13673</v>
      </c>
    </row>
    <row r="14" spans="1:28" s="3" customFormat="1" x14ac:dyDescent="0.2">
      <c r="B14" s="7" t="s">
        <v>19</v>
      </c>
      <c r="C14" s="8"/>
      <c r="D14" s="8">
        <v>2695</v>
      </c>
      <c r="E14" s="8">
        <v>2291</v>
      </c>
      <c r="F14" s="8">
        <v>2022</v>
      </c>
      <c r="G14" s="8">
        <v>2470</v>
      </c>
      <c r="H14" s="8">
        <v>2695</v>
      </c>
      <c r="I14" s="8">
        <v>2848</v>
      </c>
      <c r="J14" s="8">
        <v>2784</v>
      </c>
      <c r="K14" s="8">
        <v>3303</v>
      </c>
      <c r="L14" s="8"/>
      <c r="M14" s="8"/>
      <c r="N14" s="8"/>
      <c r="P14" s="3">
        <v>1758.758</v>
      </c>
      <c r="Q14" s="3">
        <v>3433.482</v>
      </c>
      <c r="R14" s="3">
        <v>4793</v>
      </c>
      <c r="S14" s="3">
        <v>10885</v>
      </c>
      <c r="T14" s="3">
        <v>12358</v>
      </c>
      <c r="U14" s="3">
        <v>9047</v>
      </c>
      <c r="V14" s="3">
        <v>10797</v>
      </c>
    </row>
    <row r="15" spans="1:28" s="3" customFormat="1" x14ac:dyDescent="0.2">
      <c r="B15" s="7" t="s">
        <v>20</v>
      </c>
      <c r="C15" s="8"/>
      <c r="D15" s="8">
        <f>+D13-D14</f>
        <v>273</v>
      </c>
      <c r="E15" s="8">
        <f>+E13-E14</f>
        <v>482</v>
      </c>
      <c r="F15" s="8">
        <f t="shared" ref="F15" si="6">+F13-F14</f>
        <v>402</v>
      </c>
      <c r="G15" s="8">
        <f>+G13-G14</f>
        <v>591</v>
      </c>
      <c r="H15" s="8">
        <f>+H13-H14</f>
        <v>715</v>
      </c>
      <c r="I15" s="8">
        <f>+I13-I14</f>
        <v>807</v>
      </c>
      <c r="J15" s="8">
        <f>+J13-J14</f>
        <v>733</v>
      </c>
      <c r="K15" s="8">
        <f>+K13-K14</f>
        <v>929</v>
      </c>
      <c r="L15" s="8"/>
      <c r="M15" s="8"/>
      <c r="N15" s="8"/>
      <c r="P15" s="3">
        <f t="shared" ref="P15" si="7">+P13-P14</f>
        <v>196.70900000000006</v>
      </c>
      <c r="Q15" s="3">
        <f t="shared" ref="Q15" si="8">+Q13-Q14</f>
        <v>506.41400000000021</v>
      </c>
      <c r="R15" s="3">
        <f t="shared" ref="R15" si="9">+R13-R14</f>
        <v>794</v>
      </c>
      <c r="S15" s="3">
        <f t="shared" ref="S15" si="10">+S13-S14</f>
        <v>1929</v>
      </c>
      <c r="T15" s="3">
        <f>+T13-T14</f>
        <v>1246</v>
      </c>
      <c r="U15" s="3">
        <f>+U13-U14</f>
        <v>1724</v>
      </c>
      <c r="V15" s="3">
        <f>+V13-V14</f>
        <v>2876</v>
      </c>
    </row>
    <row r="16" spans="1:28" s="3" customFormat="1" x14ac:dyDescent="0.2">
      <c r="B16" s="7" t="s">
        <v>21</v>
      </c>
      <c r="C16" s="8"/>
      <c r="D16" s="8">
        <v>455</v>
      </c>
      <c r="E16" s="8">
        <v>433</v>
      </c>
      <c r="F16" s="8">
        <v>439</v>
      </c>
      <c r="G16" s="8">
        <v>456</v>
      </c>
      <c r="H16" s="8">
        <v>455</v>
      </c>
      <c r="I16" s="8">
        <v>470</v>
      </c>
      <c r="J16" s="8">
        <v>494</v>
      </c>
      <c r="K16" s="8">
        <v>535</v>
      </c>
      <c r="L16" s="8"/>
      <c r="M16" s="8"/>
      <c r="N16" s="8"/>
      <c r="P16" s="3">
        <v>425.25799999999998</v>
      </c>
      <c r="Q16" s="3">
        <v>786.71699999999998</v>
      </c>
      <c r="R16" s="3">
        <v>1126</v>
      </c>
      <c r="S16" s="3">
        <v>2033</v>
      </c>
      <c r="T16" s="3">
        <v>2736</v>
      </c>
      <c r="U16" s="3">
        <v>1796</v>
      </c>
      <c r="V16" s="3">
        <v>1874</v>
      </c>
    </row>
    <row r="17" spans="2:22" s="3" customFormat="1" x14ac:dyDescent="0.2">
      <c r="B17" s="7" t="s">
        <v>23</v>
      </c>
      <c r="C17" s="8"/>
      <c r="D17" s="8">
        <f>+D15-D16</f>
        <v>-182</v>
      </c>
      <c r="E17" s="8">
        <f>+E15-E16</f>
        <v>49</v>
      </c>
      <c r="F17" s="8">
        <f t="shared" ref="F17" si="11">+F15-F16</f>
        <v>-37</v>
      </c>
      <c r="G17" s="8">
        <f>+G15-G16</f>
        <v>135</v>
      </c>
      <c r="H17" s="8">
        <f>+H15-H16</f>
        <v>260</v>
      </c>
      <c r="I17" s="8">
        <f>+I15-I16</f>
        <v>337</v>
      </c>
      <c r="J17" s="8">
        <f>+J15-J16</f>
        <v>239</v>
      </c>
      <c r="K17" s="8">
        <f>+K15-K16</f>
        <v>394</v>
      </c>
      <c r="L17" s="8"/>
      <c r="M17" s="8"/>
      <c r="N17" s="8"/>
      <c r="P17" s="3">
        <f t="shared" ref="P17" si="12">+P15-P16</f>
        <v>-228.54899999999992</v>
      </c>
      <c r="Q17" s="3">
        <f t="shared" ref="Q17" si="13">+Q15-Q16</f>
        <v>-280.30299999999977</v>
      </c>
      <c r="R17" s="3">
        <f t="shared" ref="R17" si="14">+R15-R16</f>
        <v>-332</v>
      </c>
      <c r="S17" s="3">
        <f t="shared" ref="S17" si="15">+S15-S16</f>
        <v>-104</v>
      </c>
      <c r="T17" s="3">
        <f>+T15-T16</f>
        <v>-1490</v>
      </c>
      <c r="U17" s="3">
        <f>+U15-U16</f>
        <v>-72</v>
      </c>
      <c r="V17" s="3">
        <f>+V15-V16</f>
        <v>1002</v>
      </c>
    </row>
    <row r="18" spans="2:22" s="3" customFormat="1" x14ac:dyDescent="0.2">
      <c r="B18" s="7" t="s">
        <v>22</v>
      </c>
      <c r="C18" s="8"/>
      <c r="D18" s="8">
        <f>-173-1-35</f>
        <v>-209</v>
      </c>
      <c r="E18" s="8">
        <v>-153</v>
      </c>
      <c r="F18" s="8">
        <f>-165+1</f>
        <v>-164</v>
      </c>
      <c r="G18" s="8">
        <f>-173+87</f>
        <v>-86</v>
      </c>
      <c r="H18" s="8">
        <f>-173-1-35</f>
        <v>-209</v>
      </c>
      <c r="I18" s="8">
        <v>-157</v>
      </c>
      <c r="J18" s="8">
        <f>-148+50</f>
        <v>-98</v>
      </c>
      <c r="K18" s="8">
        <f>-139+122</f>
        <v>-17</v>
      </c>
      <c r="L18" s="8"/>
      <c r="M18" s="8"/>
      <c r="N18" s="8"/>
      <c r="P18" s="3">
        <v>-25.018000000000001</v>
      </c>
      <c r="Q18" s="3">
        <v>-80.605999999999995</v>
      </c>
      <c r="R18" s="3">
        <v>-131</v>
      </c>
      <c r="S18" s="3">
        <v>-176</v>
      </c>
      <c r="T18" s="3">
        <v>-486</v>
      </c>
      <c r="U18" s="3">
        <v>-632</v>
      </c>
      <c r="V18" s="3">
        <v>-651</v>
      </c>
    </row>
    <row r="19" spans="2:22" s="3" customFormat="1" x14ac:dyDescent="0.2">
      <c r="B19" s="7" t="s">
        <v>24</v>
      </c>
      <c r="C19" s="8"/>
      <c r="D19" s="8">
        <f>+D17+D18</f>
        <v>-391</v>
      </c>
      <c r="E19" s="8">
        <f>+E17+E18</f>
        <v>-104</v>
      </c>
      <c r="F19" s="8">
        <f t="shared" ref="F19" si="16">+F17+F18</f>
        <v>-201</v>
      </c>
      <c r="G19" s="8">
        <f>+G17+G18</f>
        <v>49</v>
      </c>
      <c r="H19" s="8">
        <f>+H17+H18</f>
        <v>51</v>
      </c>
      <c r="I19" s="8">
        <f>+I17+I18</f>
        <v>180</v>
      </c>
      <c r="J19" s="8">
        <f>+J17+J18</f>
        <v>141</v>
      </c>
      <c r="K19" s="8">
        <f>+K17+K18</f>
        <v>377</v>
      </c>
      <c r="L19" s="8"/>
      <c r="M19" s="8"/>
      <c r="N19" s="8"/>
      <c r="P19" s="8">
        <f t="shared" ref="P19" si="17">+P17+P18</f>
        <v>-253.56699999999992</v>
      </c>
      <c r="Q19" s="8">
        <f t="shared" ref="Q19" si="18">+Q17+Q18</f>
        <v>-360.90899999999976</v>
      </c>
      <c r="R19" s="8">
        <f t="shared" ref="R19" si="19">+R17+R18</f>
        <v>-463</v>
      </c>
      <c r="S19" s="8">
        <f t="shared" ref="S19" si="20">+S17+S18</f>
        <v>-280</v>
      </c>
      <c r="T19" s="8">
        <f t="shared" ref="T19:V19" si="21">+T17+T18</f>
        <v>-1976</v>
      </c>
      <c r="U19" s="8">
        <f t="shared" si="21"/>
        <v>-704</v>
      </c>
      <c r="V19" s="8">
        <f t="shared" si="21"/>
        <v>351</v>
      </c>
    </row>
    <row r="20" spans="2:22" s="3" customFormat="1" x14ac:dyDescent="0.2">
      <c r="B20" s="7" t="s">
        <v>25</v>
      </c>
      <c r="C20" s="8"/>
      <c r="D20" s="8">
        <f>1+30</f>
        <v>31</v>
      </c>
      <c r="E20" s="8">
        <v>29</v>
      </c>
      <c r="F20" s="8">
        <v>0</v>
      </c>
      <c r="G20" s="8">
        <v>21</v>
      </c>
      <c r="H20" s="8">
        <f>1+30</f>
        <v>31</v>
      </c>
      <c r="I20" s="8">
        <v>0</v>
      </c>
      <c r="J20" s="8">
        <v>80</v>
      </c>
      <c r="K20" s="8">
        <v>157</v>
      </c>
      <c r="L20" s="8"/>
      <c r="M20" s="8"/>
      <c r="N20" s="8"/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2:22" s="3" customFormat="1" x14ac:dyDescent="0.2">
      <c r="B21" s="7" t="s">
        <v>26</v>
      </c>
      <c r="C21" s="8"/>
      <c r="D21" s="8">
        <f>+D19-D20</f>
        <v>-422</v>
      </c>
      <c r="E21" s="8">
        <f>+E19-E20</f>
        <v>-133</v>
      </c>
      <c r="F21" s="8">
        <f t="shared" ref="F21" si="22">+F19-F20</f>
        <v>-201</v>
      </c>
      <c r="G21" s="8">
        <f>+G19-G20</f>
        <v>28</v>
      </c>
      <c r="H21" s="8">
        <f>+H19-H20</f>
        <v>20</v>
      </c>
      <c r="I21" s="8">
        <f>+I19-I20</f>
        <v>180</v>
      </c>
      <c r="J21" s="8">
        <f>+J19-J20</f>
        <v>61</v>
      </c>
      <c r="K21" s="8">
        <f>+K19-K20</f>
        <v>220</v>
      </c>
      <c r="L21" s="8"/>
      <c r="M21" s="8"/>
      <c r="N21" s="8"/>
      <c r="P21" s="8">
        <f t="shared" ref="P21" si="23">+P19-P20</f>
        <v>-253.56699999999992</v>
      </c>
      <c r="Q21" s="8">
        <f t="shared" ref="Q21" si="24">+Q19-Q20</f>
        <v>-360.90899999999976</v>
      </c>
      <c r="R21" s="8">
        <f t="shared" ref="R21" si="25">+R19-R20</f>
        <v>-463</v>
      </c>
      <c r="S21" s="8">
        <f t="shared" ref="S21" si="26">+S19-S20</f>
        <v>-280</v>
      </c>
      <c r="T21" s="8">
        <f t="shared" ref="T21:V21" si="27">+T19-T20</f>
        <v>-1976</v>
      </c>
      <c r="U21" s="8">
        <f t="shared" si="27"/>
        <v>-704</v>
      </c>
      <c r="V21" s="8">
        <f t="shared" si="27"/>
        <v>351</v>
      </c>
    </row>
    <row r="22" spans="2:22" s="3" customFormat="1" x14ac:dyDescent="0.2">
      <c r="B22" s="7" t="s">
        <v>27</v>
      </c>
      <c r="C22" s="8"/>
      <c r="D22" s="12">
        <f>+D21/D23</f>
        <v>-3.9728116586017963</v>
      </c>
      <c r="E22" s="12">
        <f>+E21/E23</f>
        <v>-0.64576272832325032</v>
      </c>
      <c r="F22" s="12">
        <f t="shared" ref="F22" si="28">+F21/F23</f>
        <v>-1.7614582420471474</v>
      </c>
      <c r="G22" s="12">
        <f>+G21/G23</f>
        <v>0.13192674296429968</v>
      </c>
      <c r="H22" s="12">
        <f>+H21/H23</f>
        <v>0.1556844276651228</v>
      </c>
      <c r="I22" s="12">
        <f>+I21/I23</f>
        <v>1.3477593500804912</v>
      </c>
      <c r="J22" s="12">
        <f>+J21/J23</f>
        <v>0.43615355465147038</v>
      </c>
      <c r="K22" s="12">
        <f>+K21/K23</f>
        <v>1.5429176572899355</v>
      </c>
      <c r="L22" s="8"/>
      <c r="M22" s="8"/>
      <c r="N22" s="8"/>
      <c r="P22" s="12">
        <f t="shared" ref="P22" si="29">+P21/P23</f>
        <v>-8.440135805345669</v>
      </c>
      <c r="Q22" s="12">
        <f t="shared" ref="Q22" si="30">+Q21/Q23</f>
        <v>-7.7039938523277849</v>
      </c>
      <c r="R22" s="12">
        <f t="shared" ref="R22" si="31">+R21/R23</f>
        <v>-7.1251596620550632</v>
      </c>
      <c r="S22" s="12">
        <f t="shared" ref="S22" si="32">+S21/S23</f>
        <v>-3.3814383189420925</v>
      </c>
      <c r="T22" s="12">
        <f t="shared" ref="T22:V22" si="33">+T21/T23</f>
        <v>-19.597730789066528</v>
      </c>
      <c r="U22" s="12">
        <f t="shared" si="33"/>
        <v>-3.5098565146725962</v>
      </c>
      <c r="V22" s="12">
        <f t="shared" si="33"/>
        <v>2.6549475818041541</v>
      </c>
    </row>
    <row r="23" spans="2:22" s="3" customFormat="1" x14ac:dyDescent="0.2">
      <c r="B23" s="7" t="s">
        <v>0</v>
      </c>
      <c r="C23" s="8"/>
      <c r="D23" s="8">
        <v>106.22199999999999</v>
      </c>
      <c r="E23" s="8">
        <v>205.958</v>
      </c>
      <c r="F23" s="8">
        <v>114.11</v>
      </c>
      <c r="G23" s="8">
        <v>212.239</v>
      </c>
      <c r="H23" s="8">
        <v>128.465</v>
      </c>
      <c r="I23" s="8">
        <v>133.55500000000001</v>
      </c>
      <c r="J23" s="8">
        <v>139.85900000000001</v>
      </c>
      <c r="K23" s="8">
        <v>142.58699999999999</v>
      </c>
      <c r="L23" s="8"/>
      <c r="M23" s="8"/>
      <c r="N23" s="8"/>
      <c r="P23" s="3">
        <v>30.042999999999999</v>
      </c>
      <c r="Q23" s="3">
        <v>46.847000000000001</v>
      </c>
      <c r="R23" s="3">
        <v>64.980999999999995</v>
      </c>
      <c r="S23" s="3">
        <v>82.805000000000007</v>
      </c>
      <c r="T23" s="3">
        <v>100.828</v>
      </c>
      <c r="U23" s="3">
        <v>200.578</v>
      </c>
      <c r="V23" s="3">
        <v>132.20599999999999</v>
      </c>
    </row>
    <row r="26" spans="2:22" x14ac:dyDescent="0.2">
      <c r="B26" s="14" t="s">
        <v>31</v>
      </c>
      <c r="H26" s="6">
        <f>+H13/D13-1</f>
        <v>0.14892183288409711</v>
      </c>
      <c r="I26" s="6">
        <f>+I13/E13-1</f>
        <v>0.31806707536963574</v>
      </c>
      <c r="J26" s="6">
        <f>+J13/F13-1</f>
        <v>0.45090759075907583</v>
      </c>
      <c r="K26" s="6">
        <f>+K13/G13-1</f>
        <v>0.38255472067951657</v>
      </c>
      <c r="Q26" s="18">
        <f t="shared" ref="Q26:U26" si="34">+Q13/P13-1</f>
        <v>1.0148107843292675</v>
      </c>
      <c r="R26" s="18">
        <f t="shared" si="34"/>
        <v>0.41805773553413594</v>
      </c>
      <c r="S26" s="18">
        <f t="shared" si="34"/>
        <v>1.2935385716842669</v>
      </c>
      <c r="T26" s="18">
        <f t="shared" si="34"/>
        <v>6.1651318869985872E-2</v>
      </c>
      <c r="U26" s="18">
        <f t="shared" si="34"/>
        <v>-0.20824757424286977</v>
      </c>
      <c r="V26" s="18">
        <f>+V13/U13-1</f>
        <v>0.26942716553709034</v>
      </c>
    </row>
    <row r="27" spans="2:22" x14ac:dyDescent="0.2">
      <c r="B27" s="20" t="s">
        <v>64</v>
      </c>
      <c r="D27" s="6">
        <f t="shared" ref="D27:F27" si="35">+D15/D13</f>
        <v>9.1981132075471692E-2</v>
      </c>
      <c r="E27" s="6">
        <f t="shared" si="35"/>
        <v>0.1738189686260368</v>
      </c>
      <c r="F27" s="6">
        <f t="shared" si="35"/>
        <v>0.16584158415841585</v>
      </c>
      <c r="G27" s="6">
        <f>+G15/G13</f>
        <v>0.19307415877164325</v>
      </c>
      <c r="H27" s="6">
        <f t="shared" ref="H27:K27" si="36">+H15/H13</f>
        <v>0.20967741935483872</v>
      </c>
      <c r="I27" s="6">
        <f t="shared" si="36"/>
        <v>0.22079343365253079</v>
      </c>
      <c r="J27" s="6">
        <f t="shared" si="36"/>
        <v>0.20841626386124537</v>
      </c>
      <c r="K27" s="6">
        <f t="shared" si="36"/>
        <v>0.21951795841209829</v>
      </c>
      <c r="P27" s="6">
        <f t="shared" ref="P27" si="37">+P15/P13</f>
        <v>0.100594384870724</v>
      </c>
      <c r="Q27" s="6">
        <f t="shared" ref="Q27:V27" si="38">+Q15/Q13</f>
        <v>0.12853486487968216</v>
      </c>
      <c r="R27" s="6">
        <f t="shared" si="38"/>
        <v>0.14211562555933416</v>
      </c>
      <c r="S27" s="6">
        <f t="shared" si="38"/>
        <v>0.15053847354456062</v>
      </c>
      <c r="T27" s="6">
        <f t="shared" si="38"/>
        <v>9.1590708615113203E-2</v>
      </c>
      <c r="U27" s="6">
        <f t="shared" si="38"/>
        <v>0.16005941880976696</v>
      </c>
      <c r="V27" s="6">
        <f t="shared" si="38"/>
        <v>0.21034154903825056</v>
      </c>
    </row>
    <row r="29" spans="2:22" s="3" customFormat="1" x14ac:dyDescent="0.2">
      <c r="B29" s="17" t="s">
        <v>3</v>
      </c>
      <c r="C29" s="8"/>
      <c r="D29" s="8"/>
      <c r="E29" s="8"/>
      <c r="F29" s="8"/>
      <c r="G29" s="8"/>
      <c r="H29" s="8"/>
      <c r="I29" s="8"/>
      <c r="J29" s="8"/>
      <c r="K29" s="8">
        <f>1858+46</f>
        <v>1904</v>
      </c>
      <c r="L29" s="8"/>
      <c r="M29" s="8"/>
      <c r="N29" s="8"/>
    </row>
    <row r="30" spans="2:22" s="3" customFormat="1" x14ac:dyDescent="0.2">
      <c r="B30" s="17" t="s">
        <v>49</v>
      </c>
      <c r="C30" s="8"/>
      <c r="D30" s="8"/>
      <c r="E30" s="8"/>
      <c r="F30" s="8"/>
      <c r="G30" s="8"/>
      <c r="H30" s="8"/>
      <c r="I30" s="8"/>
      <c r="J30" s="8"/>
      <c r="K30" s="8">
        <v>369</v>
      </c>
      <c r="L30" s="8"/>
      <c r="M30" s="8"/>
      <c r="N30" s="8"/>
    </row>
    <row r="31" spans="2:22" s="3" customFormat="1" x14ac:dyDescent="0.2">
      <c r="B31" s="17" t="s">
        <v>50</v>
      </c>
      <c r="C31" s="8"/>
      <c r="D31" s="8"/>
      <c r="E31" s="8"/>
      <c r="F31" s="8"/>
      <c r="G31" s="8"/>
      <c r="H31" s="8"/>
      <c r="I31" s="8"/>
      <c r="J31" s="8"/>
      <c r="K31" s="8">
        <v>737</v>
      </c>
      <c r="L31" s="8"/>
      <c r="M31" s="8"/>
      <c r="N31" s="8"/>
    </row>
    <row r="32" spans="2:22" s="3" customFormat="1" x14ac:dyDescent="0.2">
      <c r="B32" s="17" t="s">
        <v>58</v>
      </c>
      <c r="C32" s="8"/>
      <c r="D32" s="8"/>
      <c r="E32" s="8"/>
      <c r="F32" s="8"/>
      <c r="G32" s="8"/>
      <c r="H32" s="8"/>
      <c r="I32" s="8"/>
      <c r="J32" s="8"/>
      <c r="K32" s="8">
        <v>1503</v>
      </c>
      <c r="L32" s="8"/>
      <c r="M32" s="8"/>
      <c r="N32" s="8"/>
    </row>
    <row r="33" spans="2:14" s="3" customFormat="1" x14ac:dyDescent="0.2">
      <c r="B33" s="17" t="s">
        <v>57</v>
      </c>
      <c r="C33" s="8"/>
      <c r="D33" s="8"/>
      <c r="E33" s="8"/>
      <c r="F33" s="8"/>
      <c r="G33" s="8"/>
      <c r="H33" s="8"/>
      <c r="I33" s="8"/>
      <c r="J33" s="8"/>
      <c r="K33" s="8">
        <v>475</v>
      </c>
      <c r="L33" s="8"/>
      <c r="M33" s="8"/>
      <c r="N33" s="8"/>
    </row>
    <row r="34" spans="2:14" s="3" customFormat="1" x14ac:dyDescent="0.2">
      <c r="B34" s="17" t="s">
        <v>56</v>
      </c>
      <c r="C34" s="8"/>
      <c r="D34" s="8"/>
      <c r="E34" s="8"/>
      <c r="F34" s="8"/>
      <c r="G34" s="8"/>
      <c r="H34" s="8"/>
      <c r="I34" s="8"/>
      <c r="J34" s="8"/>
      <c r="K34" s="8">
        <v>149</v>
      </c>
      <c r="L34" s="8"/>
      <c r="M34" s="8"/>
      <c r="N34" s="8"/>
    </row>
    <row r="35" spans="2:14" s="3" customFormat="1" x14ac:dyDescent="0.2">
      <c r="B35" s="17" t="s">
        <v>55</v>
      </c>
      <c r="C35" s="8"/>
      <c r="D35" s="8"/>
      <c r="E35" s="8"/>
      <c r="F35" s="8"/>
      <c r="G35" s="8"/>
      <c r="H35" s="8"/>
      <c r="I35" s="8"/>
      <c r="J35" s="8"/>
      <c r="K35" s="8">
        <v>2743</v>
      </c>
      <c r="L35" s="8"/>
      <c r="M35" s="8"/>
      <c r="N35" s="8"/>
    </row>
    <row r="36" spans="2:14" s="3" customFormat="1" x14ac:dyDescent="0.2">
      <c r="B36" s="17" t="s">
        <v>54</v>
      </c>
      <c r="C36" s="8"/>
      <c r="D36" s="8"/>
      <c r="E36" s="8"/>
      <c r="F36" s="8"/>
      <c r="G36" s="8"/>
      <c r="H36" s="8"/>
      <c r="I36" s="8"/>
      <c r="J36" s="8"/>
      <c r="K36" s="8">
        <v>430</v>
      </c>
      <c r="L36" s="8"/>
      <c r="M36" s="8"/>
      <c r="N36" s="8"/>
    </row>
    <row r="37" spans="2:14" s="3" customFormat="1" x14ac:dyDescent="0.2">
      <c r="B37" s="17" t="s">
        <v>53</v>
      </c>
      <c r="C37" s="8"/>
      <c r="D37" s="8"/>
      <c r="E37" s="8"/>
      <c r="F37" s="8"/>
      <c r="G37" s="8"/>
      <c r="H37" s="8"/>
      <c r="I37" s="8"/>
      <c r="J37" s="8"/>
      <c r="K37" s="8">
        <f>35+2</f>
        <v>37</v>
      </c>
      <c r="L37" s="8"/>
      <c r="M37" s="8"/>
      <c r="N37" s="8"/>
    </row>
    <row r="38" spans="2:14" s="3" customFormat="1" x14ac:dyDescent="0.2">
      <c r="B38" s="17" t="s">
        <v>52</v>
      </c>
      <c r="C38" s="8"/>
      <c r="D38" s="8"/>
      <c r="E38" s="8"/>
      <c r="F38" s="8"/>
      <c r="G38" s="8"/>
      <c r="H38" s="8"/>
      <c r="I38" s="8"/>
      <c r="J38" s="8"/>
      <c r="K38" s="8">
        <v>531</v>
      </c>
      <c r="L38" s="8"/>
      <c r="M38" s="8"/>
      <c r="N38" s="8"/>
    </row>
    <row r="39" spans="2:14" s="3" customFormat="1" x14ac:dyDescent="0.2">
      <c r="B39" s="17" t="s">
        <v>51</v>
      </c>
      <c r="C39" s="8"/>
      <c r="D39" s="8"/>
      <c r="E39" s="8"/>
      <c r="F39" s="8"/>
      <c r="G39" s="8"/>
      <c r="H39" s="8"/>
      <c r="I39" s="8"/>
      <c r="J39" s="8"/>
      <c r="K39" s="8">
        <f>SUM(K29:K38)</f>
        <v>8878</v>
      </c>
      <c r="L39" s="8"/>
      <c r="M39" s="8"/>
      <c r="N39" s="8"/>
    </row>
    <row r="41" spans="2:14" s="3" customFormat="1" x14ac:dyDescent="0.2">
      <c r="B41" s="17" t="s">
        <v>59</v>
      </c>
      <c r="C41" s="8"/>
      <c r="D41" s="8"/>
      <c r="E41" s="8"/>
      <c r="F41" s="8"/>
      <c r="G41" s="8"/>
      <c r="H41" s="8"/>
      <c r="I41" s="8"/>
      <c r="J41" s="8"/>
      <c r="K41" s="8">
        <v>836</v>
      </c>
      <c r="L41" s="8"/>
      <c r="M41" s="8"/>
      <c r="N41" s="8"/>
    </row>
    <row r="42" spans="2:14" s="3" customFormat="1" x14ac:dyDescent="0.2">
      <c r="B42" s="17" t="s">
        <v>4</v>
      </c>
      <c r="C42" s="8"/>
      <c r="D42" s="8"/>
      <c r="E42" s="8"/>
      <c r="F42" s="8"/>
      <c r="G42" s="8"/>
      <c r="H42" s="8"/>
      <c r="I42" s="8"/>
      <c r="J42" s="8"/>
      <c r="K42" s="8">
        <f>308+5269+64</f>
        <v>5641</v>
      </c>
      <c r="L42" s="8"/>
      <c r="M42" s="8"/>
      <c r="N42" s="8"/>
    </row>
    <row r="43" spans="2:14" s="3" customFormat="1" x14ac:dyDescent="0.2">
      <c r="B43" s="17" t="s">
        <v>60</v>
      </c>
      <c r="C43" s="8"/>
      <c r="D43" s="8"/>
      <c r="E43" s="8"/>
      <c r="F43" s="8"/>
      <c r="G43" s="8"/>
      <c r="H43" s="8"/>
      <c r="I43" s="8"/>
      <c r="J43" s="8"/>
      <c r="K43" s="8">
        <v>139</v>
      </c>
      <c r="L43" s="8"/>
      <c r="M43" s="8"/>
      <c r="N43" s="8"/>
    </row>
    <row r="44" spans="2:14" s="3" customFormat="1" x14ac:dyDescent="0.2">
      <c r="B44" s="17" t="s">
        <v>54</v>
      </c>
      <c r="C44" s="8"/>
      <c r="D44" s="8"/>
      <c r="E44" s="8"/>
      <c r="F44" s="8"/>
      <c r="G44" s="8"/>
      <c r="H44" s="8"/>
      <c r="I44" s="8"/>
      <c r="J44" s="8"/>
      <c r="K44" s="8">
        <v>402</v>
      </c>
      <c r="L44" s="8"/>
      <c r="M44" s="8"/>
      <c r="N44" s="8"/>
    </row>
    <row r="45" spans="2:14" s="3" customFormat="1" x14ac:dyDescent="0.2">
      <c r="B45" s="17" t="s">
        <v>61</v>
      </c>
      <c r="C45" s="8"/>
      <c r="D45" s="8"/>
      <c r="E45" s="8"/>
      <c r="F45" s="8"/>
      <c r="G45" s="8"/>
      <c r="H45" s="8"/>
      <c r="I45" s="8"/>
      <c r="J45" s="8"/>
      <c r="K45" s="8">
        <v>87</v>
      </c>
      <c r="L45" s="8"/>
      <c r="M45" s="8"/>
      <c r="N45" s="8"/>
    </row>
    <row r="46" spans="2:14" s="3" customFormat="1" x14ac:dyDescent="0.2">
      <c r="B46" s="17" t="s">
        <v>62</v>
      </c>
      <c r="C46" s="8"/>
      <c r="D46" s="8"/>
      <c r="E46" s="8"/>
      <c r="F46" s="8"/>
      <c r="G46" s="8"/>
      <c r="H46" s="8"/>
      <c r="I46" s="8"/>
      <c r="J46" s="8"/>
      <c r="K46" s="8">
        <v>1773</v>
      </c>
      <c r="L46" s="8"/>
      <c r="M46" s="8"/>
      <c r="N46" s="8"/>
    </row>
    <row r="47" spans="2:14" s="3" customFormat="1" x14ac:dyDescent="0.2">
      <c r="B47" s="17" t="s">
        <v>63</v>
      </c>
      <c r="C47" s="8"/>
      <c r="D47" s="8"/>
      <c r="E47" s="8"/>
      <c r="F47" s="8"/>
      <c r="G47" s="8"/>
      <c r="H47" s="8"/>
      <c r="I47" s="8"/>
      <c r="J47" s="8"/>
      <c r="K47" s="8">
        <f>SUM(K41:K46)</f>
        <v>8878</v>
      </c>
      <c r="L47" s="8"/>
      <c r="M47" s="8"/>
      <c r="N47" s="8"/>
    </row>
    <row r="49" spans="2:22" s="3" customFormat="1" x14ac:dyDescent="0.2">
      <c r="B49" s="19" t="s">
        <v>29</v>
      </c>
      <c r="C49" s="8"/>
      <c r="D49" s="8"/>
      <c r="E49" s="8"/>
      <c r="F49" s="8"/>
      <c r="G49" s="8">
        <v>101</v>
      </c>
      <c r="H49" s="8">
        <v>455</v>
      </c>
      <c r="I49" s="8">
        <f>858-H49-G49</f>
        <v>302</v>
      </c>
      <c r="J49" s="8">
        <f>918-I49-H49-G49</f>
        <v>60</v>
      </c>
      <c r="K49" s="8">
        <v>232</v>
      </c>
      <c r="L49" s="8"/>
      <c r="M49" s="8"/>
      <c r="N49" s="8"/>
      <c r="P49" s="3">
        <v>-414.34</v>
      </c>
      <c r="Q49" s="3">
        <v>-757.13400000000001</v>
      </c>
      <c r="R49" s="3">
        <v>-608</v>
      </c>
      <c r="S49" s="3">
        <v>-2594</v>
      </c>
      <c r="T49" s="3">
        <v>-1324</v>
      </c>
      <c r="U49" s="3">
        <v>803</v>
      </c>
      <c r="V49" s="3">
        <v>918</v>
      </c>
    </row>
    <row r="50" spans="2:22" s="3" customFormat="1" x14ac:dyDescent="0.2">
      <c r="B50" s="19" t="s">
        <v>30</v>
      </c>
      <c r="C50" s="8"/>
      <c r="D50" s="8"/>
      <c r="E50" s="8"/>
      <c r="F50" s="8"/>
      <c r="G50" s="8">
        <v>18</v>
      </c>
      <c r="H50" s="8">
        <v>40</v>
      </c>
      <c r="I50" s="8">
        <f>67-H50-G50</f>
        <v>9</v>
      </c>
      <c r="J50" s="8">
        <f>91-I50-H50-G50</f>
        <v>24</v>
      </c>
      <c r="K50" s="8">
        <v>27</v>
      </c>
      <c r="L50" s="8"/>
      <c r="M50" s="8"/>
      <c r="N50" s="8"/>
      <c r="P50" s="3">
        <v>-143.66800000000001</v>
      </c>
      <c r="Q50" s="3">
        <v>-230.53800000000001</v>
      </c>
      <c r="R50" s="3">
        <v>-360</v>
      </c>
      <c r="S50" s="3">
        <v>-557</v>
      </c>
      <c r="T50" s="3">
        <v>-512</v>
      </c>
      <c r="U50" s="3">
        <v>-87</v>
      </c>
      <c r="V50" s="3">
        <v>-91</v>
      </c>
    </row>
    <row r="51" spans="2:22" s="9" customFormat="1" x14ac:dyDescent="0.2">
      <c r="B51" s="10" t="s">
        <v>28</v>
      </c>
      <c r="C51" s="11"/>
      <c r="D51" s="11"/>
      <c r="E51" s="11"/>
      <c r="F51" s="11"/>
      <c r="G51" s="11">
        <f>+G49-G50</f>
        <v>83</v>
      </c>
      <c r="H51" s="11">
        <f>+H49-H50</f>
        <v>415</v>
      </c>
      <c r="I51" s="11">
        <f>+I49-I50</f>
        <v>293</v>
      </c>
      <c r="J51" s="11">
        <f>+J49-J50</f>
        <v>36</v>
      </c>
      <c r="K51" s="11">
        <f>+K49-K50</f>
        <v>205</v>
      </c>
      <c r="L51" s="11"/>
      <c r="M51" s="11"/>
      <c r="N51" s="11"/>
      <c r="P51" s="9">
        <f t="shared" ref="P51" si="39">+P49+P50</f>
        <v>-558.00800000000004</v>
      </c>
      <c r="Q51" s="9">
        <f t="shared" ref="Q51" si="40">+Q49+Q50</f>
        <v>-987.67200000000003</v>
      </c>
      <c r="R51" s="9">
        <f t="shared" ref="R51" si="41">+R49+R50</f>
        <v>-968</v>
      </c>
      <c r="S51" s="9">
        <f t="shared" ref="S51" si="42">+S49+S50</f>
        <v>-3151</v>
      </c>
      <c r="T51" s="9">
        <f>+T49+T50</f>
        <v>-1836</v>
      </c>
      <c r="U51" s="9">
        <f>+U49+U50</f>
        <v>716</v>
      </c>
      <c r="V51" s="9">
        <f>+V49+V50</f>
        <v>827</v>
      </c>
    </row>
    <row r="53" spans="2:22" s="3" customFormat="1" x14ac:dyDescent="0.2">
      <c r="B53" s="17" t="s">
        <v>45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P53" s="3">
        <v>-1259.539</v>
      </c>
      <c r="Q53" s="3">
        <v>-2625.3510000000001</v>
      </c>
      <c r="R53" s="3">
        <v>-3579</v>
      </c>
      <c r="S53" s="3">
        <v>-7306</v>
      </c>
      <c r="T53" s="3">
        <v>-7214</v>
      </c>
      <c r="U53" s="3">
        <v>-6041</v>
      </c>
      <c r="V53" s="3">
        <v>-8329</v>
      </c>
    </row>
    <row r="54" spans="2:22" s="3" customFormat="1" x14ac:dyDescent="0.2">
      <c r="B54" s="17" t="s">
        <v>46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P54" s="3">
        <v>1633.519</v>
      </c>
      <c r="Q54" s="3">
        <v>2643.9119999999998</v>
      </c>
      <c r="R54" s="3">
        <v>3634</v>
      </c>
      <c r="S54" s="3">
        <v>7391</v>
      </c>
      <c r="T54" s="3">
        <v>6297</v>
      </c>
      <c r="U54" s="3">
        <v>6594</v>
      </c>
      <c r="V54" s="3">
        <v>8805</v>
      </c>
    </row>
    <row r="55" spans="2:22" s="9" customFormat="1" x14ac:dyDescent="0.2">
      <c r="B55" s="10" t="s">
        <v>47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P55" s="9">
        <f t="shared" ref="P55" si="43">+P53+P54</f>
        <v>373.98</v>
      </c>
      <c r="Q55" s="9">
        <f t="shared" ref="Q55" si="44">+Q53+Q54</f>
        <v>18.560999999999694</v>
      </c>
      <c r="R55" s="9">
        <f t="shared" ref="R55" si="45">+R53+R54</f>
        <v>55</v>
      </c>
      <c r="S55" s="9">
        <f t="shared" ref="S55" si="46">+S53+S54</f>
        <v>85</v>
      </c>
      <c r="T55" s="9">
        <f>+T53+T54</f>
        <v>-917</v>
      </c>
      <c r="U55" s="9">
        <f>+U53+U54</f>
        <v>553</v>
      </c>
      <c r="V55" s="9">
        <f>+V53+V54</f>
        <v>476</v>
      </c>
    </row>
  </sheetData>
  <hyperlinks>
    <hyperlink ref="A1" location="Main!A1" display="Main" xr:uid="{B4EC8B13-5E69-4E39-A092-32DFE93B8D1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2024-10-21T20:36:42Z</dcterms:created>
  <dcterms:modified xsi:type="dcterms:W3CDTF">2025-10-08T13:51:44Z</dcterms:modified>
</cp:coreProperties>
</file>