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0645B1EE-9C94-4044-87A1-CFBB948978E4}" xr6:coauthVersionLast="47" xr6:coauthVersionMax="47" xr10:uidLastSave="{00000000-0000-0000-0000-000000000000}"/>
  <bookViews>
    <workbookView xWindow="4365" yWindow="4365" windowWidth="18075" windowHeight="16020" activeTab="1" xr2:uid="{17EEF4A8-A70E-4960-9A9D-BF93444826D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/>
  <c r="I9" i="2"/>
  <c r="H9" i="2"/>
  <c r="G9" i="2"/>
  <c r="F17" i="2"/>
  <c r="F13" i="2"/>
  <c r="F14" i="2" s="1"/>
  <c r="F15" i="2" s="1"/>
  <c r="F12" i="2"/>
  <c r="F11" i="2"/>
  <c r="F10" i="2"/>
  <c r="C17" i="2"/>
  <c r="C14" i="2"/>
  <c r="C11" i="2"/>
  <c r="E17" i="2"/>
  <c r="D17" i="2"/>
  <c r="D14" i="2"/>
  <c r="D15" i="2" s="1"/>
  <c r="D11" i="2"/>
  <c r="C15" i="2" l="1"/>
  <c r="F3" i="2" l="1"/>
  <c r="N7" i="2"/>
  <c r="E14" i="2"/>
  <c r="E11" i="2"/>
  <c r="E15" i="2" s="1"/>
  <c r="N9" i="2" l="1"/>
  <c r="M9" i="2" l="1"/>
  <c r="N2" i="2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K4" i="1"/>
  <c r="K7" i="1" s="1"/>
  <c r="M5" i="2" l="1"/>
  <c r="O9" i="2"/>
  <c r="P9" i="2" s="1"/>
  <c r="Q9" i="2" s="1"/>
  <c r="R9" i="2" s="1"/>
  <c r="S9" i="2" s="1"/>
  <c r="S10" i="2" s="1"/>
  <c r="S11" i="2" s="1"/>
  <c r="S14" i="2" s="1"/>
  <c r="S15" i="2" s="1"/>
  <c r="S16" i="2" s="1"/>
  <c r="M10" i="2"/>
  <c r="M11" i="2" s="1"/>
  <c r="M14" i="2" s="1"/>
  <c r="N10" i="2"/>
  <c r="N11" i="2" s="1"/>
  <c r="N14" i="2" s="1"/>
  <c r="O10" i="2"/>
  <c r="O11" i="2" s="1"/>
  <c r="O14" i="2" s="1"/>
  <c r="P10" i="2"/>
  <c r="P11" i="2" s="1"/>
  <c r="P14" i="2" s="1"/>
  <c r="Q10" i="2"/>
  <c r="Q11" i="2" s="1"/>
  <c r="Q14" i="2" s="1"/>
  <c r="T10" i="2"/>
  <c r="T11" i="2" s="1"/>
  <c r="T14" i="2" s="1"/>
  <c r="R10" i="2" l="1"/>
  <c r="R11" i="2" s="1"/>
  <c r="R14" i="2" s="1"/>
  <c r="R15" i="2" s="1"/>
  <c r="R16" i="2" s="1"/>
  <c r="M15" i="2"/>
  <c r="M16" i="2" s="1"/>
  <c r="T15" i="2"/>
  <c r="T16" i="2" s="1"/>
  <c r="Q15" i="2"/>
  <c r="Q16" i="2" s="1"/>
  <c r="P15" i="2"/>
  <c r="P16" i="2" s="1"/>
  <c r="O15" i="2"/>
  <c r="O16" i="2" s="1"/>
  <c r="N15" i="2"/>
  <c r="N16" i="2" s="1"/>
  <c r="W21" i="2" s="1"/>
  <c r="W22" i="2" s="1"/>
</calcChain>
</file>

<file path=xl/sharedStrings.xml><?xml version="1.0" encoding="utf-8"?>
<sst xmlns="http://schemas.openxmlformats.org/spreadsheetml/2006/main" count="45" uniqueCount="40">
  <si>
    <t>Price</t>
  </si>
  <si>
    <t>Shares</t>
  </si>
  <si>
    <t>MC</t>
  </si>
  <si>
    <t>Cash</t>
  </si>
  <si>
    <t>Debt</t>
  </si>
  <si>
    <t>EV</t>
  </si>
  <si>
    <t>Q224</t>
  </si>
  <si>
    <t>Name</t>
  </si>
  <si>
    <t>Ojemda (tovorafenib)</t>
  </si>
  <si>
    <t>Indication</t>
  </si>
  <si>
    <t>Glioma</t>
  </si>
  <si>
    <t>Approval</t>
  </si>
  <si>
    <t>IP</t>
  </si>
  <si>
    <t>ODE</t>
  </si>
  <si>
    <t>Main</t>
  </si>
  <si>
    <t>Revenue</t>
  </si>
  <si>
    <t>Patients</t>
  </si>
  <si>
    <t>COGS</t>
  </si>
  <si>
    <t>Gross Profit</t>
  </si>
  <si>
    <t>DAY301</t>
  </si>
  <si>
    <t>PTK7 ADC</t>
  </si>
  <si>
    <t>MOA</t>
  </si>
  <si>
    <t>BRAF</t>
  </si>
  <si>
    <t>SG&amp;A</t>
  </si>
  <si>
    <t>Operating Expenses</t>
  </si>
  <si>
    <t>Taxes</t>
  </si>
  <si>
    <t>Net Income</t>
  </si>
  <si>
    <t>Discount</t>
  </si>
  <si>
    <t>NPV</t>
  </si>
  <si>
    <t>Q124</t>
  </si>
  <si>
    <t>Q324</t>
  </si>
  <si>
    <t>Q424</t>
  </si>
  <si>
    <t>Q125</t>
  </si>
  <si>
    <t>Q225</t>
  </si>
  <si>
    <t>Q325</t>
  </si>
  <si>
    <t>Q425</t>
  </si>
  <si>
    <t>EPS</t>
  </si>
  <si>
    <t>R&amp;D</t>
  </si>
  <si>
    <t>Prescriptions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</si>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</sst>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1" xfId="0" applyBorder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88FA876-9BE8-48BE-8466-4671FF0C6F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CD43-A822-414C-A059-E3F3D300EBC3}">
  <dimension ref="B2:L7"/>
  <sheetViews>
    <sheetView zoomScaleNormal="100" workbookViewId="0">
      <selection activeCell="G13" sqref="G13"/>
    </sheetView>
  </sheetViews>
  <sheetFormatPr defaultRowHeight="12.75" x14ac:dyDescent="0.2"/>
  <cols>
    <col min="1" max="1" width="4.140625" customWidth="1"/>
    <col min="2" max="2" width="18.7109375" bestFit="1" customWidth="1"/>
    <col min="4" max="4" width="11.5703125" customWidth="1"/>
    <col min="6" max="6" width="10" bestFit="1" customWidth="1"/>
  </cols>
  <sheetData>
    <row r="2" spans="2:12" x14ac:dyDescent="0.2">
      <c r="B2" s="11" t="s">
        <v>7</v>
      </c>
      <c r="C2" s="12" t="s">
        <v>9</v>
      </c>
      <c r="D2" s="12" t="s">
        <v>11</v>
      </c>
      <c r="E2" s="12" t="s">
        <v>12</v>
      </c>
      <c r="F2" s="12" t="s">
        <v>21</v>
      </c>
      <c r="G2" s="12"/>
      <c r="H2" s="13"/>
      <c r="J2" t="s">
        <v>0</v>
      </c>
      <c r="K2">
        <v>7.71</v>
      </c>
    </row>
    <row r="3" spans="2:12" x14ac:dyDescent="0.2">
      <c r="B3" s="5" t="s">
        <v>8</v>
      </c>
      <c r="C3" t="s">
        <v>10</v>
      </c>
      <c r="D3" s="6">
        <v>45405</v>
      </c>
      <c r="E3" t="s">
        <v>13</v>
      </c>
      <c r="F3" t="s">
        <v>22</v>
      </c>
      <c r="H3" s="7"/>
      <c r="J3" t="s">
        <v>1</v>
      </c>
      <c r="K3" s="2">
        <v>101.354</v>
      </c>
      <c r="L3" s="1" t="s">
        <v>31</v>
      </c>
    </row>
    <row r="4" spans="2:12" x14ac:dyDescent="0.2">
      <c r="B4" s="11"/>
      <c r="C4" s="12"/>
      <c r="D4" s="12"/>
      <c r="E4" s="12"/>
      <c r="F4" s="12"/>
      <c r="G4" s="12"/>
      <c r="H4" s="13"/>
      <c r="J4" t="s">
        <v>2</v>
      </c>
      <c r="K4" s="2">
        <f>+K2*K3</f>
        <v>781.43934000000002</v>
      </c>
    </row>
    <row r="5" spans="2:12" x14ac:dyDescent="0.2">
      <c r="B5" s="5" t="s">
        <v>19</v>
      </c>
      <c r="F5" t="s">
        <v>20</v>
      </c>
      <c r="H5" s="7"/>
      <c r="J5" t="s">
        <v>3</v>
      </c>
      <c r="K5" s="2">
        <v>531</v>
      </c>
      <c r="L5" s="1" t="s">
        <v>31</v>
      </c>
    </row>
    <row r="6" spans="2:12" x14ac:dyDescent="0.2">
      <c r="B6" s="5"/>
      <c r="H6" s="7"/>
      <c r="J6" t="s">
        <v>4</v>
      </c>
      <c r="K6" s="2">
        <v>0</v>
      </c>
      <c r="L6" s="1" t="s">
        <v>31</v>
      </c>
    </row>
    <row r="7" spans="2:12" x14ac:dyDescent="0.2">
      <c r="B7" s="8"/>
      <c r="C7" s="9"/>
      <c r="D7" s="9"/>
      <c r="E7" s="9"/>
      <c r="F7" s="9"/>
      <c r="G7" s="9"/>
      <c r="H7" s="10"/>
      <c r="J7" t="s">
        <v>5</v>
      </c>
      <c r="K7" s="2">
        <f>+K4-K5+K6</f>
        <v>250.43934000000002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450E-5D23-47E7-99CD-B49E7DF2B9B2}">
  <dimension ref="A1:AC22"/>
  <sheetViews>
    <sheetView tabSelected="1" zoomScaleNormal="10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W22" sqref="W22"/>
    </sheetView>
  </sheetViews>
  <sheetFormatPr defaultRowHeight="12.75" x14ac:dyDescent="0.2"/>
  <cols>
    <col min="1" max="1" width="5" bestFit="1" customWidth="1"/>
    <col min="2" max="2" width="17.140625" bestFit="1" customWidth="1"/>
    <col min="3" max="4" width="9.7109375" style="1" bestFit="1" customWidth="1"/>
    <col min="5" max="10" width="9.7109375" style="1" customWidth="1"/>
    <col min="11" max="11" width="9.7109375" bestFit="1" customWidth="1"/>
    <col min="12" max="12" width="10.85546875" customWidth="1"/>
    <col min="13" max="13" width="9.7109375" bestFit="1" customWidth="1"/>
  </cols>
  <sheetData>
    <row r="1" spans="1:29" x14ac:dyDescent="0.2">
      <c r="A1" s="15" t="s">
        <v>14</v>
      </c>
    </row>
    <row r="2" spans="1:29" x14ac:dyDescent="0.2">
      <c r="C2" s="1" t="s">
        <v>29</v>
      </c>
      <c r="D2" s="1" t="s">
        <v>6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M2">
        <v>2024</v>
      </c>
      <c r="N2">
        <f t="shared" ref="N2:AC2" si="0">+M2+1</f>
        <v>2025</v>
      </c>
      <c r="O2">
        <f t="shared" si="0"/>
        <v>2026</v>
      </c>
      <c r="P2">
        <f t="shared" si="0"/>
        <v>2027</v>
      </c>
      <c r="Q2">
        <f t="shared" si="0"/>
        <v>2028</v>
      </c>
      <c r="R2">
        <f t="shared" si="0"/>
        <v>2029</v>
      </c>
      <c r="S2">
        <f t="shared" si="0"/>
        <v>2030</v>
      </c>
      <c r="T2">
        <f t="shared" si="0"/>
        <v>2031</v>
      </c>
      <c r="U2">
        <f t="shared" si="0"/>
        <v>2032</v>
      </c>
      <c r="V2">
        <f t="shared" si="0"/>
        <v>2033</v>
      </c>
      <c r="W2">
        <f t="shared" si="0"/>
        <v>2034</v>
      </c>
      <c r="X2">
        <f t="shared" si="0"/>
        <v>2035</v>
      </c>
      <c r="Y2">
        <f t="shared" si="0"/>
        <v>2036</v>
      </c>
      <c r="Z2">
        <f t="shared" si="0"/>
        <v>2037</v>
      </c>
      <c r="AA2">
        <f t="shared" si="0"/>
        <v>2038</v>
      </c>
      <c r="AB2">
        <f t="shared" si="0"/>
        <v>2039</v>
      </c>
      <c r="AC2">
        <f t="shared" si="0"/>
        <v>2040</v>
      </c>
    </row>
    <row r="3" spans="1:29" x14ac:dyDescent="0.2">
      <c r="B3" t="s">
        <v>38</v>
      </c>
      <c r="E3" s="1">
        <v>619</v>
      </c>
      <c r="F3" s="1">
        <f>1647-E3-D3</f>
        <v>1028</v>
      </c>
    </row>
    <row r="4" spans="1:29" x14ac:dyDescent="0.2">
      <c r="B4" t="s">
        <v>0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</row>
    <row r="5" spans="1:29" x14ac:dyDescent="0.2">
      <c r="B5" t="s">
        <v>16</v>
      </c>
      <c r="C5" s="16"/>
      <c r="D5" s="16"/>
      <c r="E5" s="16"/>
      <c r="F5" s="16">
        <v>280</v>
      </c>
      <c r="G5" s="16"/>
      <c r="H5" s="16"/>
      <c r="I5" s="16"/>
      <c r="J5" s="16"/>
      <c r="K5" s="2"/>
      <c r="M5" s="2">
        <f>M9/M4</f>
        <v>151</v>
      </c>
      <c r="N5">
        <v>250</v>
      </c>
      <c r="O5">
        <v>400</v>
      </c>
      <c r="P5">
        <v>500</v>
      </c>
      <c r="Q5">
        <v>600</v>
      </c>
      <c r="R5">
        <v>650</v>
      </c>
      <c r="S5">
        <v>700</v>
      </c>
      <c r="T5">
        <v>50</v>
      </c>
    </row>
    <row r="6" spans="1:29" x14ac:dyDescent="0.2">
      <c r="C6" s="16"/>
      <c r="D6" s="16"/>
      <c r="E6" s="16"/>
      <c r="F6" s="16"/>
      <c r="G6" s="16"/>
      <c r="H6" s="16"/>
      <c r="I6" s="16"/>
      <c r="J6" s="16"/>
      <c r="K6" s="2"/>
      <c r="M6" s="2"/>
      <c r="N6">
        <v>10000</v>
      </c>
    </row>
    <row r="7" spans="1:29" x14ac:dyDescent="0.2">
      <c r="C7" s="16"/>
      <c r="D7" s="16"/>
      <c r="E7" s="16"/>
      <c r="F7" s="16"/>
      <c r="G7" s="16"/>
      <c r="H7" s="16"/>
      <c r="I7" s="16"/>
      <c r="J7" s="16"/>
      <c r="K7" s="2"/>
      <c r="M7" s="2"/>
      <c r="N7">
        <f>+N6*0.03*0.2</f>
        <v>60</v>
      </c>
    </row>
    <row r="9" spans="1:29" s="3" customFormat="1" x14ac:dyDescent="0.2">
      <c r="B9" s="3" t="s">
        <v>15</v>
      </c>
      <c r="C9" s="17">
        <v>0</v>
      </c>
      <c r="D9" s="17">
        <v>8.1999999999999993</v>
      </c>
      <c r="E9" s="17">
        <v>20.100000000000001</v>
      </c>
      <c r="F9" s="17">
        <v>29</v>
      </c>
      <c r="G9" s="17">
        <f>+F9+5</f>
        <v>34</v>
      </c>
      <c r="H9" s="17">
        <f>+G9+5</f>
        <v>39</v>
      </c>
      <c r="I9" s="17">
        <f>+H9+5</f>
        <v>44</v>
      </c>
      <c r="J9" s="17">
        <f>+I9+5</f>
        <v>49</v>
      </c>
      <c r="K9" s="4"/>
      <c r="M9" s="4">
        <f>8.2+10+12</f>
        <v>30.2</v>
      </c>
      <c r="N9" s="4">
        <f>SUM(G9:J9)</f>
        <v>166</v>
      </c>
      <c r="O9" s="4">
        <f>N9+80</f>
        <v>246</v>
      </c>
      <c r="P9" s="4">
        <f t="shared" ref="P9:S9" si="1">O9+80</f>
        <v>326</v>
      </c>
      <c r="Q9" s="4">
        <f t="shared" si="1"/>
        <v>406</v>
      </c>
      <c r="R9" s="4">
        <f t="shared" si="1"/>
        <v>486</v>
      </c>
      <c r="S9" s="4">
        <f t="shared" si="1"/>
        <v>566</v>
      </c>
      <c r="T9" s="4"/>
    </row>
    <row r="10" spans="1:29" x14ac:dyDescent="0.2">
      <c r="B10" t="s">
        <v>17</v>
      </c>
      <c r="C10" s="16">
        <v>0</v>
      </c>
      <c r="D10" s="16">
        <v>0.70699999999999996</v>
      </c>
      <c r="E10" s="16">
        <v>1.59</v>
      </c>
      <c r="F10" s="16">
        <f>5.279-E10-D10-C10</f>
        <v>2.9820000000000002</v>
      </c>
      <c r="G10" s="16"/>
      <c r="H10" s="16"/>
      <c r="I10" s="16"/>
      <c r="J10" s="16"/>
      <c r="K10" s="2"/>
      <c r="M10" s="2">
        <f>+M9*0.01</f>
        <v>0.30199999999999999</v>
      </c>
      <c r="N10" s="2">
        <f t="shared" ref="N10:T10" si="2">+N9*0.01</f>
        <v>1.6600000000000001</v>
      </c>
      <c r="O10" s="2">
        <f t="shared" si="2"/>
        <v>2.46</v>
      </c>
      <c r="P10" s="2">
        <f t="shared" si="2"/>
        <v>3.2600000000000002</v>
      </c>
      <c r="Q10" s="2">
        <f t="shared" si="2"/>
        <v>4.0600000000000005</v>
      </c>
      <c r="R10" s="2">
        <f t="shared" si="2"/>
        <v>4.8600000000000003</v>
      </c>
      <c r="S10" s="2">
        <f t="shared" si="2"/>
        <v>5.66</v>
      </c>
      <c r="T10" s="2">
        <f t="shared" si="2"/>
        <v>0</v>
      </c>
    </row>
    <row r="11" spans="1:29" x14ac:dyDescent="0.2">
      <c r="B11" t="s">
        <v>18</v>
      </c>
      <c r="C11" s="16">
        <f>+C9-C10</f>
        <v>0</v>
      </c>
      <c r="D11" s="16">
        <f>+D9-D10</f>
        <v>7.4929999999999994</v>
      </c>
      <c r="E11" s="16">
        <f>+E9-E10</f>
        <v>18.510000000000002</v>
      </c>
      <c r="F11" s="16">
        <f>+F9-F10</f>
        <v>26.018000000000001</v>
      </c>
      <c r="G11" s="16"/>
      <c r="H11" s="16"/>
      <c r="I11" s="16"/>
      <c r="J11" s="16"/>
      <c r="K11" s="2"/>
      <c r="M11" s="2">
        <f>+M9-M10</f>
        <v>29.898</v>
      </c>
      <c r="N11" s="2">
        <f t="shared" ref="N11:T11" si="3">+N9-N10</f>
        <v>164.34</v>
      </c>
      <c r="O11" s="2">
        <f t="shared" si="3"/>
        <v>243.54</v>
      </c>
      <c r="P11" s="2">
        <f t="shared" si="3"/>
        <v>322.74</v>
      </c>
      <c r="Q11" s="2">
        <f t="shared" si="3"/>
        <v>401.94</v>
      </c>
      <c r="R11" s="2">
        <f t="shared" si="3"/>
        <v>481.14</v>
      </c>
      <c r="S11" s="2">
        <f t="shared" si="3"/>
        <v>560.34</v>
      </c>
      <c r="T11" s="2">
        <f t="shared" si="3"/>
        <v>0</v>
      </c>
    </row>
    <row r="12" spans="1:29" x14ac:dyDescent="0.2">
      <c r="B12" t="s">
        <v>23</v>
      </c>
      <c r="C12" s="16">
        <v>26.556999999999999</v>
      </c>
      <c r="D12" s="16">
        <v>30.186</v>
      </c>
      <c r="E12" s="16">
        <v>28.972000000000001</v>
      </c>
      <c r="F12" s="16">
        <f>115.45-E12-D12-C12</f>
        <v>29.73500000000001</v>
      </c>
      <c r="M12">
        <v>5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5</v>
      </c>
    </row>
    <row r="13" spans="1:29" x14ac:dyDescent="0.2">
      <c r="B13" t="s">
        <v>37</v>
      </c>
      <c r="C13" s="16">
        <v>40.21</v>
      </c>
      <c r="D13" s="16">
        <v>92.105999999999995</v>
      </c>
      <c r="E13" s="16">
        <v>33.563000000000002</v>
      </c>
      <c r="F13" s="16">
        <f>227.702-E13-D13-C13</f>
        <v>61.823000000000015</v>
      </c>
    </row>
    <row r="14" spans="1:29" x14ac:dyDescent="0.2">
      <c r="B14" t="s">
        <v>24</v>
      </c>
      <c r="C14" s="16">
        <f>+C13+C12</f>
        <v>66.766999999999996</v>
      </c>
      <c r="D14" s="16">
        <f>+D13+D12</f>
        <v>122.292</v>
      </c>
      <c r="E14" s="16">
        <f>+E13+E12</f>
        <v>62.535000000000004</v>
      </c>
      <c r="F14" s="16">
        <f>+F13+F12</f>
        <v>91.558000000000021</v>
      </c>
      <c r="G14" s="16"/>
      <c r="H14" s="16"/>
      <c r="I14" s="16"/>
      <c r="J14" s="16"/>
      <c r="K14" s="2"/>
      <c r="M14" s="2">
        <f>+M11-M12</f>
        <v>24.898</v>
      </c>
      <c r="N14" s="2">
        <f>+N11-N12</f>
        <v>154.34</v>
      </c>
      <c r="O14" s="2">
        <f t="shared" ref="O14:T14" si="4">+O11-O12</f>
        <v>233.54</v>
      </c>
      <c r="P14" s="2">
        <f t="shared" si="4"/>
        <v>312.74</v>
      </c>
      <c r="Q14" s="2">
        <f t="shared" si="4"/>
        <v>391.94</v>
      </c>
      <c r="R14" s="2">
        <f t="shared" si="4"/>
        <v>471.14</v>
      </c>
      <c r="S14" s="2">
        <f t="shared" si="4"/>
        <v>550.34</v>
      </c>
      <c r="T14" s="2">
        <f t="shared" si="4"/>
        <v>-5</v>
      </c>
    </row>
    <row r="15" spans="1:29" x14ac:dyDescent="0.2">
      <c r="B15" s="2" t="s">
        <v>25</v>
      </c>
      <c r="C15" s="16">
        <f>+C11-C14</f>
        <v>-66.766999999999996</v>
      </c>
      <c r="D15" s="16">
        <f>+D11-D14</f>
        <v>-114.79900000000001</v>
      </c>
      <c r="E15" s="16">
        <f>+E11-E14</f>
        <v>-44.025000000000006</v>
      </c>
      <c r="F15" s="16">
        <f>+F11-F14</f>
        <v>-65.54000000000002</v>
      </c>
      <c r="G15" s="16"/>
      <c r="H15" s="16"/>
      <c r="I15" s="16"/>
      <c r="J15" s="16"/>
      <c r="K15" s="2"/>
      <c r="L15" s="2"/>
      <c r="M15" s="2">
        <f t="shared" ref="M15:T15" si="5">+M14*0.1</f>
        <v>2.4898000000000002</v>
      </c>
      <c r="N15" s="2">
        <f t="shared" si="5"/>
        <v>15.434000000000001</v>
      </c>
      <c r="O15" s="2">
        <f t="shared" si="5"/>
        <v>23.353999999999999</v>
      </c>
      <c r="P15" s="2">
        <f t="shared" si="5"/>
        <v>31.274000000000001</v>
      </c>
      <c r="Q15" s="2">
        <f t="shared" si="5"/>
        <v>39.194000000000003</v>
      </c>
      <c r="R15" s="2">
        <f t="shared" si="5"/>
        <v>47.114000000000004</v>
      </c>
      <c r="S15" s="2">
        <f t="shared" si="5"/>
        <v>55.034000000000006</v>
      </c>
      <c r="T15" s="2">
        <f t="shared" si="5"/>
        <v>-0.5</v>
      </c>
    </row>
    <row r="16" spans="1:29" x14ac:dyDescent="0.2">
      <c r="B16" t="s">
        <v>26</v>
      </c>
      <c r="C16" s="16">
        <v>0</v>
      </c>
      <c r="D16" s="16">
        <v>0</v>
      </c>
      <c r="E16" s="16">
        <v>0</v>
      </c>
      <c r="F16" s="16">
        <v>0</v>
      </c>
      <c r="G16" s="16"/>
      <c r="H16" s="16"/>
      <c r="I16" s="16"/>
      <c r="J16" s="16"/>
      <c r="K16" s="2"/>
      <c r="M16" s="2">
        <f>+M14-M15</f>
        <v>22.408200000000001</v>
      </c>
      <c r="N16" s="2">
        <f t="shared" ref="N16:T16" si="6">+N14-N15</f>
        <v>138.90600000000001</v>
      </c>
      <c r="O16" s="2">
        <f t="shared" si="6"/>
        <v>210.18599999999998</v>
      </c>
      <c r="P16" s="2">
        <f t="shared" si="6"/>
        <v>281.46600000000001</v>
      </c>
      <c r="Q16" s="2">
        <f t="shared" si="6"/>
        <v>352.74599999999998</v>
      </c>
      <c r="R16" s="2">
        <f t="shared" si="6"/>
        <v>424.02599999999995</v>
      </c>
      <c r="S16" s="2">
        <f t="shared" si="6"/>
        <v>495.30600000000004</v>
      </c>
      <c r="T16" s="2">
        <f t="shared" si="6"/>
        <v>-4.5</v>
      </c>
    </row>
    <row r="17" spans="2:23" x14ac:dyDescent="0.2">
      <c r="B17" t="s">
        <v>36</v>
      </c>
      <c r="C17" s="19">
        <f>+C16/C18</f>
        <v>0</v>
      </c>
      <c r="D17" s="19">
        <f>+D16/D18</f>
        <v>0</v>
      </c>
      <c r="E17" s="19">
        <f>+E16/E18</f>
        <v>0</v>
      </c>
      <c r="F17" s="19">
        <f>+F16/F18</f>
        <v>0</v>
      </c>
      <c r="G17" s="16"/>
      <c r="H17" s="16"/>
      <c r="I17" s="16"/>
      <c r="J17" s="16"/>
      <c r="K17" s="2"/>
      <c r="M17" s="2"/>
      <c r="N17" s="2"/>
      <c r="O17" s="2"/>
      <c r="P17" s="2"/>
      <c r="Q17" s="2"/>
      <c r="R17" s="2"/>
      <c r="S17" s="2"/>
      <c r="T17" s="2"/>
    </row>
    <row r="18" spans="2:23" x14ac:dyDescent="0.2">
      <c r="B18" t="s">
        <v>1</v>
      </c>
      <c r="C18" s="16">
        <v>86.679282000000001</v>
      </c>
      <c r="D18" s="16">
        <v>87.121309999999994</v>
      </c>
      <c r="E18" s="16">
        <v>96.936999999999998</v>
      </c>
      <c r="F18" s="16">
        <v>93.234195</v>
      </c>
      <c r="G18" s="16"/>
      <c r="H18" s="16"/>
      <c r="I18" s="16"/>
      <c r="J18" s="16"/>
      <c r="K18" s="2"/>
      <c r="M18" s="2"/>
      <c r="N18" s="2"/>
      <c r="O18" s="2"/>
      <c r="P18" s="2"/>
      <c r="Q18" s="2"/>
      <c r="R18" s="2"/>
      <c r="S18" s="2"/>
      <c r="T18" s="2"/>
    </row>
    <row r="20" spans="2:23" x14ac:dyDescent="0.2">
      <c r="C20" s="18"/>
      <c r="D20" s="18"/>
      <c r="E20" s="18"/>
      <c r="F20" s="18"/>
      <c r="G20" s="18"/>
      <c r="H20" s="18"/>
      <c r="I20" s="18"/>
      <c r="J20" s="18"/>
      <c r="K20" s="14"/>
      <c r="V20" t="s">
        <v>27</v>
      </c>
      <c r="W20" s="14">
        <v>0.1</v>
      </c>
    </row>
    <row r="21" spans="2:23" x14ac:dyDescent="0.2">
      <c r="C21" s="16"/>
      <c r="D21" s="16"/>
      <c r="E21" s="16"/>
      <c r="F21" s="16"/>
      <c r="G21" s="16"/>
      <c r="H21" s="16"/>
      <c r="I21" s="16"/>
      <c r="J21" s="16"/>
      <c r="K21" s="2"/>
      <c r="V21" t="s">
        <v>28</v>
      </c>
      <c r="W21" s="2">
        <f>NPV(W20,N16:T16)</f>
        <v>1292.9503537101402</v>
      </c>
    </row>
    <row r="22" spans="2:23" x14ac:dyDescent="0.2">
      <c r="V22" t="s">
        <v>39</v>
      </c>
      <c r="W22" s="20">
        <f>W21/Main!K3</f>
        <v>12.756776779506879</v>
      </c>
    </row>
  </sheetData>
  <hyperlinks>
    <hyperlink ref="A1" location="Main!A1" display="Main" xr:uid="{83237F3A-3469-494A-9311-28BDE345A8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2024-09-20T16:34:07Z</dcterms:created>
  <dcterms:modified xsi:type="dcterms:W3CDTF">2025-10-08T15:51:00Z</dcterms:modified>
</cp:coreProperties>
</file>