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D09ABF74-5C04-4514-98EF-1D7D6B8D38B7}" xr6:coauthVersionLast="47" xr6:coauthVersionMax="47" xr10:uidLastSave="{00000000-0000-0000-0000-000000000000}"/>
  <bookViews>
    <workbookView xWindow="4680" yWindow="4680" windowWidth="18075" windowHeight="16020" activeTab="1" xr2:uid="{99790AA5-3840-4A41-8864-A932B225279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8" i="2" l="1"/>
  <c r="K58" i="2"/>
  <c r="J58" i="2"/>
  <c r="J27" i="2"/>
  <c r="J25" i="2"/>
  <c r="J21" i="2"/>
  <c r="J20" i="2"/>
  <c r="L34" i="2"/>
  <c r="K27" i="2"/>
  <c r="K25" i="2"/>
  <c r="K21" i="2"/>
  <c r="K20" i="2"/>
  <c r="L27" i="2"/>
  <c r="L25" i="2"/>
  <c r="L21" i="2"/>
  <c r="M27" i="2"/>
  <c r="M25" i="2"/>
  <c r="M21" i="2"/>
  <c r="L20" i="2"/>
  <c r="M20" i="2"/>
  <c r="O58" i="2"/>
  <c r="P58" i="2"/>
  <c r="Q58" i="2"/>
  <c r="N27" i="2"/>
  <c r="N25" i="2"/>
  <c r="N21" i="2"/>
  <c r="O27" i="2"/>
  <c r="O25" i="2"/>
  <c r="O21" i="2"/>
  <c r="P27" i="2"/>
  <c r="P25" i="2"/>
  <c r="P21" i="2"/>
  <c r="N20" i="2"/>
  <c r="N34" i="2" s="1"/>
  <c r="O20" i="2"/>
  <c r="O34" i="2" s="1"/>
  <c r="P20" i="2"/>
  <c r="P22" i="2" s="1"/>
  <c r="P32" i="2" s="1"/>
  <c r="D20" i="2"/>
  <c r="D27" i="2"/>
  <c r="D25" i="2"/>
  <c r="D21" i="2"/>
  <c r="D22" i="2" s="1"/>
  <c r="D24" i="2" s="1"/>
  <c r="C27" i="2"/>
  <c r="C25" i="2"/>
  <c r="C21" i="2"/>
  <c r="C20" i="2"/>
  <c r="G27" i="2"/>
  <c r="G25" i="2"/>
  <c r="G21" i="2"/>
  <c r="G20" i="2"/>
  <c r="D16" i="2"/>
  <c r="D65" i="2" s="1"/>
  <c r="H16" i="2"/>
  <c r="H65" i="2" s="1"/>
  <c r="H6" i="2"/>
  <c r="G6" i="2"/>
  <c r="H13" i="2"/>
  <c r="H64" i="2" s="1"/>
  <c r="D13" i="2"/>
  <c r="D64" i="2" s="1"/>
  <c r="D66" i="2"/>
  <c r="H66" i="2"/>
  <c r="H56" i="2"/>
  <c r="I7" i="1"/>
  <c r="H49" i="2"/>
  <c r="H54" i="2" s="1"/>
  <c r="H44" i="2"/>
  <c r="H37" i="2"/>
  <c r="H27" i="2"/>
  <c r="H25" i="2"/>
  <c r="H21" i="2"/>
  <c r="H20" i="2"/>
  <c r="I4" i="1"/>
  <c r="K22" i="2" l="1"/>
  <c r="L22" i="2"/>
  <c r="L24" i="2" s="1"/>
  <c r="L26" i="2" s="1"/>
  <c r="K34" i="2"/>
  <c r="J22" i="2"/>
  <c r="J24" i="2" s="1"/>
  <c r="K32" i="2"/>
  <c r="K24" i="2"/>
  <c r="L28" i="2"/>
  <c r="L29" i="2" s="1"/>
  <c r="P34" i="2"/>
  <c r="M34" i="2"/>
  <c r="L32" i="2"/>
  <c r="L33" i="2"/>
  <c r="M22" i="2"/>
  <c r="G34" i="2"/>
  <c r="P24" i="2"/>
  <c r="P33" i="2" s="1"/>
  <c r="O22" i="2"/>
  <c r="O32" i="2" s="1"/>
  <c r="N22" i="2"/>
  <c r="N32" i="2" s="1"/>
  <c r="H34" i="2"/>
  <c r="D26" i="2"/>
  <c r="D28" i="2" s="1"/>
  <c r="D29" i="2" s="1"/>
  <c r="C22" i="2"/>
  <c r="C24" i="2" s="1"/>
  <c r="C26" i="2" s="1"/>
  <c r="C28" i="2" s="1"/>
  <c r="C29" i="2" s="1"/>
  <c r="G22" i="2"/>
  <c r="H46" i="2"/>
  <c r="H22" i="2"/>
  <c r="H24" i="2" s="1"/>
  <c r="J32" i="2" l="1"/>
  <c r="J33" i="2"/>
  <c r="J26" i="2"/>
  <c r="J28" i="2" s="1"/>
  <c r="J29" i="2" s="1"/>
  <c r="K33" i="2"/>
  <c r="K26" i="2"/>
  <c r="K28" i="2" s="1"/>
  <c r="K29" i="2" s="1"/>
  <c r="M24" i="2"/>
  <c r="M32" i="2"/>
  <c r="O24" i="2"/>
  <c r="O33" i="2" s="1"/>
  <c r="N24" i="2"/>
  <c r="N33" i="2" s="1"/>
  <c r="P26" i="2"/>
  <c r="P28" i="2" s="1"/>
  <c r="P29" i="2" s="1"/>
  <c r="G24" i="2"/>
  <c r="G32" i="2"/>
  <c r="H32" i="2"/>
  <c r="H26" i="2"/>
  <c r="H28" i="2" s="1"/>
  <c r="H29" i="2" s="1"/>
  <c r="H33" i="2"/>
  <c r="M26" i="2" l="1"/>
  <c r="M28" i="2" s="1"/>
  <c r="M29" i="2" s="1"/>
  <c r="M33" i="2"/>
  <c r="N26" i="2"/>
  <c r="N28" i="2" s="1"/>
  <c r="N29" i="2" s="1"/>
  <c r="O26" i="2"/>
  <c r="O28" i="2" s="1"/>
  <c r="O29" i="2" s="1"/>
  <c r="G26" i="2"/>
  <c r="G28" i="2" s="1"/>
  <c r="G29" i="2" s="1"/>
  <c r="G33" i="2"/>
</calcChain>
</file>

<file path=xl/sharedStrings.xml><?xml version="1.0" encoding="utf-8"?>
<sst xmlns="http://schemas.openxmlformats.org/spreadsheetml/2006/main" count="78" uniqueCount="73">
  <si>
    <t>Price</t>
  </si>
  <si>
    <t>Shares</t>
  </si>
  <si>
    <t>MC</t>
  </si>
  <si>
    <t>Cash</t>
  </si>
  <si>
    <t>Debt</t>
  </si>
  <si>
    <t>EV</t>
  </si>
  <si>
    <t>Main</t>
  </si>
  <si>
    <t>Revenue</t>
  </si>
  <si>
    <t>Q224</t>
  </si>
  <si>
    <t>Services</t>
  </si>
  <si>
    <t>Products</t>
  </si>
  <si>
    <t>COGS</t>
  </si>
  <si>
    <t>Gross Profit</t>
  </si>
  <si>
    <t>SG&amp;A</t>
  </si>
  <si>
    <t>Operating Income</t>
  </si>
  <si>
    <t>Gross Margin</t>
  </si>
  <si>
    <t>Operating Margin</t>
  </si>
  <si>
    <t>Pretax Income</t>
  </si>
  <si>
    <t>Interest</t>
  </si>
  <si>
    <t>Taxes</t>
  </si>
  <si>
    <t>Net Income</t>
  </si>
  <si>
    <t>EPS</t>
  </si>
  <si>
    <t>Accounts Receivable</t>
  </si>
  <si>
    <t>Inventories</t>
  </si>
  <si>
    <t>Content Advances</t>
  </si>
  <si>
    <t>OCA</t>
  </si>
  <si>
    <t>Content</t>
  </si>
  <si>
    <t>PP&amp;E</t>
  </si>
  <si>
    <t>Goodwill</t>
  </si>
  <si>
    <t>Other</t>
  </si>
  <si>
    <t>Assets</t>
  </si>
  <si>
    <t>AP</t>
  </si>
  <si>
    <t>DT</t>
  </si>
  <si>
    <t>OLTL</t>
  </si>
  <si>
    <t>S/E</t>
  </si>
  <si>
    <t>L+S/E</t>
  </si>
  <si>
    <t>DR</t>
  </si>
  <si>
    <t>CFFO</t>
  </si>
  <si>
    <t>FQ324</t>
  </si>
  <si>
    <t>FQ224</t>
  </si>
  <si>
    <t>FQ124</t>
  </si>
  <si>
    <t>Revenue y/y</t>
  </si>
  <si>
    <t>Entertainment</t>
  </si>
  <si>
    <t>Sports</t>
  </si>
  <si>
    <t>Experiences</t>
  </si>
  <si>
    <t>Entertainment OI</t>
  </si>
  <si>
    <t>Sports OI</t>
  </si>
  <si>
    <t>Experiences OI</t>
  </si>
  <si>
    <t>FQ423</t>
  </si>
  <si>
    <t>FQ23</t>
  </si>
  <si>
    <t>Entertainment OM</t>
  </si>
  <si>
    <t>Sports OM</t>
  </si>
  <si>
    <t>Experiences OM</t>
  </si>
  <si>
    <t>Linear Networks</t>
  </si>
  <si>
    <t>DTC</t>
  </si>
  <si>
    <t>Content Sales</t>
  </si>
  <si>
    <t>Disney+ Domestic</t>
  </si>
  <si>
    <t>Disney+ Intl</t>
  </si>
  <si>
    <t>Disney+ Hotstar</t>
  </si>
  <si>
    <t>Disney+ Total</t>
  </si>
  <si>
    <t>Hulu</t>
  </si>
  <si>
    <t>ESPN</t>
  </si>
  <si>
    <t>Star India</t>
  </si>
  <si>
    <t>F2024</t>
  </si>
  <si>
    <t>F2023</t>
  </si>
  <si>
    <t>F2022</t>
  </si>
  <si>
    <t>F2021</t>
  </si>
  <si>
    <t>CapEx</t>
  </si>
  <si>
    <t>FCF</t>
  </si>
  <si>
    <t>F2000</t>
  </si>
  <si>
    <t>F2019</t>
  </si>
  <si>
    <t>F2018</t>
  </si>
  <si>
    <t>F2017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</si>
</sst>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#,##0.0"/>
    <numFmt numFmtId="166" formatCode="yyyy/mm/dd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6" fontId="2" fillId="0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E87DA70-ED3C-407F-8A9C-6BD7483F92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1C7F-C83B-4EA6-B74B-61DB3BF098F0}">
  <dimension ref="H2:J7"/>
  <sheetViews>
    <sheetView zoomScaleNormal="100" workbookViewId="0">
      <selection activeCell="H9" sqref="H9"/>
    </sheetView>
  </sheetViews>
  <sheetFormatPr defaultRowHeight="12.75" x14ac:dyDescent="0.2"/>
  <sheetData>
    <row r="2" spans="8:10" x14ac:dyDescent="0.2">
      <c r="H2" t="s">
        <v>0</v>
      </c>
      <c r="I2" s="1">
        <v>85.67</v>
      </c>
    </row>
    <row r="3" spans="8:10" x14ac:dyDescent="0.2">
      <c r="H3" t="s">
        <v>1</v>
      </c>
      <c r="I3" s="2">
        <v>1813.5873799999999</v>
      </c>
      <c r="J3" s="3" t="s">
        <v>8</v>
      </c>
    </row>
    <row r="4" spans="8:10" x14ac:dyDescent="0.2">
      <c r="H4" t="s">
        <v>2</v>
      </c>
      <c r="I4" s="2">
        <f>+I2*I3</f>
        <v>155370.0308446</v>
      </c>
      <c r="J4" s="3"/>
    </row>
    <row r="5" spans="8:10" x14ac:dyDescent="0.2">
      <c r="H5" t="s">
        <v>3</v>
      </c>
      <c r="I5" s="2">
        <v>10586</v>
      </c>
      <c r="J5" s="3" t="s">
        <v>8</v>
      </c>
    </row>
    <row r="6" spans="8:10" x14ac:dyDescent="0.2">
      <c r="H6" t="s">
        <v>4</v>
      </c>
      <c r="I6" s="2">
        <v>47584</v>
      </c>
      <c r="J6" s="3" t="s">
        <v>8</v>
      </c>
    </row>
    <row r="7" spans="8:10" x14ac:dyDescent="0.2">
      <c r="H7" t="s">
        <v>5</v>
      </c>
      <c r="I7" s="2">
        <f>+I4-I5+I6</f>
        <v>192368.0308446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3778-8872-4317-A2AC-EAF4F0379902}">
  <dimension ref="A1:Q66"/>
  <sheetViews>
    <sheetView tabSelected="1" zoomScaleNormal="100" workbookViewId="0">
      <pane xSplit="2" ySplit="3" topLeftCell="E4" activePane="bottomRight" state="frozen"/>
      <selection pane="topRight" activeCell="C1" sqref="C1"/>
      <selection pane="bottomLeft" activeCell="A3" sqref="A3"/>
      <selection pane="bottomRight" activeCell="P34" sqref="P34"/>
    </sheetView>
  </sheetViews>
  <sheetFormatPr defaultRowHeight="12.75" x14ac:dyDescent="0.2"/>
  <cols>
    <col min="1" max="1" width="5" bestFit="1" customWidth="1"/>
    <col min="2" max="2" width="19.42578125" customWidth="1"/>
    <col min="3" max="3" width="9.140625" style="3"/>
    <col min="4" max="4" width="10.5703125" style="3" bestFit="1" customWidth="1"/>
    <col min="5" max="6" width="9.140625" style="3"/>
    <col min="7" max="8" width="10.5703125" style="3" bestFit="1" customWidth="1"/>
    <col min="9" max="14" width="9.140625" style="3"/>
    <col min="16" max="17" width="9.140625" style="3"/>
  </cols>
  <sheetData>
    <row r="1" spans="1:17" x14ac:dyDescent="0.2">
      <c r="A1" s="11" t="s">
        <v>6</v>
      </c>
    </row>
    <row r="2" spans="1:17" s="15" customFormat="1" x14ac:dyDescent="0.2">
      <c r="A2" s="14"/>
      <c r="C2" s="16"/>
      <c r="D2" s="16">
        <v>45108</v>
      </c>
      <c r="E2" s="16"/>
      <c r="F2" s="16"/>
      <c r="G2" s="16">
        <v>45381</v>
      </c>
      <c r="H2" s="16">
        <v>45472</v>
      </c>
      <c r="I2" s="16"/>
      <c r="J2" s="16"/>
      <c r="K2" s="16"/>
      <c r="L2" s="16"/>
      <c r="M2" s="16"/>
      <c r="N2" s="16"/>
      <c r="P2" s="16"/>
      <c r="Q2" s="16"/>
    </row>
    <row r="3" spans="1:17" x14ac:dyDescent="0.2">
      <c r="D3" s="3" t="s">
        <v>49</v>
      </c>
      <c r="E3" s="3" t="s">
        <v>48</v>
      </c>
      <c r="F3" s="3" t="s">
        <v>40</v>
      </c>
      <c r="G3" s="3" t="s">
        <v>39</v>
      </c>
      <c r="H3" s="3" t="s">
        <v>38</v>
      </c>
      <c r="J3" s="3" t="s">
        <v>72</v>
      </c>
      <c r="K3" s="3" t="s">
        <v>71</v>
      </c>
      <c r="L3" s="3" t="s">
        <v>70</v>
      </c>
      <c r="M3" s="3" t="s">
        <v>69</v>
      </c>
      <c r="N3" s="3" t="s">
        <v>66</v>
      </c>
      <c r="O3" s="3" t="s">
        <v>65</v>
      </c>
      <c r="P3" s="3" t="s">
        <v>64</v>
      </c>
      <c r="Q3" s="3" t="s">
        <v>63</v>
      </c>
    </row>
    <row r="4" spans="1:17" x14ac:dyDescent="0.2">
      <c r="B4" t="s">
        <v>56</v>
      </c>
      <c r="G4" s="13">
        <v>54</v>
      </c>
      <c r="H4" s="13">
        <v>54.8</v>
      </c>
    </row>
    <row r="5" spans="1:17" x14ac:dyDescent="0.2">
      <c r="B5" t="s">
        <v>57</v>
      </c>
      <c r="G5" s="13">
        <v>63.6</v>
      </c>
      <c r="H5" s="13">
        <v>63.5</v>
      </c>
    </row>
    <row r="6" spans="1:17" x14ac:dyDescent="0.2">
      <c r="B6" t="s">
        <v>59</v>
      </c>
      <c r="G6" s="13">
        <f>+G5+G4</f>
        <v>117.6</v>
      </c>
      <c r="H6" s="13">
        <f>+H5+H4</f>
        <v>118.3</v>
      </c>
    </row>
    <row r="7" spans="1:17" x14ac:dyDescent="0.2">
      <c r="B7" t="s">
        <v>58</v>
      </c>
      <c r="G7" s="13">
        <v>36</v>
      </c>
      <c r="H7" s="13">
        <v>35.5</v>
      </c>
    </row>
    <row r="8" spans="1:17" x14ac:dyDescent="0.2">
      <c r="B8" t="s">
        <v>60</v>
      </c>
      <c r="G8" s="13">
        <v>50.2</v>
      </c>
      <c r="H8" s="13">
        <v>51.1</v>
      </c>
    </row>
    <row r="10" spans="1:17" x14ac:dyDescent="0.2">
      <c r="B10" t="s">
        <v>53</v>
      </c>
      <c r="D10" s="6">
        <v>2872</v>
      </c>
      <c r="E10" s="6"/>
      <c r="F10" s="6"/>
      <c r="G10" s="6"/>
      <c r="H10" s="6">
        <v>2663</v>
      </c>
    </row>
    <row r="11" spans="1:17" x14ac:dyDescent="0.2">
      <c r="B11" t="s">
        <v>54</v>
      </c>
      <c r="D11" s="6">
        <v>5045</v>
      </c>
      <c r="E11" s="6"/>
      <c r="F11" s="6"/>
      <c r="G11" s="6"/>
      <c r="H11" s="6">
        <v>5805</v>
      </c>
    </row>
    <row r="12" spans="1:17" x14ac:dyDescent="0.2">
      <c r="B12" t="s">
        <v>55</v>
      </c>
      <c r="D12" s="6">
        <v>2210</v>
      </c>
      <c r="E12" s="6"/>
      <c r="F12" s="6"/>
      <c r="G12" s="6"/>
      <c r="H12" s="6">
        <v>2112</v>
      </c>
    </row>
    <row r="13" spans="1:17" x14ac:dyDescent="0.2">
      <c r="B13" t="s">
        <v>42</v>
      </c>
      <c r="D13" s="6">
        <f>SUM(D10:D12)</f>
        <v>10127</v>
      </c>
      <c r="E13" s="6"/>
      <c r="F13" s="6"/>
      <c r="G13" s="6"/>
      <c r="H13" s="6">
        <f>SUM(H10:H12)</f>
        <v>10580</v>
      </c>
    </row>
    <row r="14" spans="1:17" x14ac:dyDescent="0.2">
      <c r="B14" t="s">
        <v>61</v>
      </c>
      <c r="D14" s="6">
        <v>4058</v>
      </c>
      <c r="E14" s="6"/>
      <c r="F14" s="6"/>
      <c r="G14" s="6"/>
      <c r="H14" s="6">
        <v>4279</v>
      </c>
    </row>
    <row r="15" spans="1:17" x14ac:dyDescent="0.2">
      <c r="B15" t="s">
        <v>62</v>
      </c>
      <c r="D15" s="6">
        <v>277</v>
      </c>
      <c r="E15" s="6"/>
      <c r="F15" s="6"/>
      <c r="G15" s="6"/>
      <c r="H15" s="6">
        <v>279</v>
      </c>
    </row>
    <row r="16" spans="1:17" x14ac:dyDescent="0.2">
      <c r="B16" t="s">
        <v>43</v>
      </c>
      <c r="D16" s="6">
        <f>+D15+D14</f>
        <v>4335</v>
      </c>
      <c r="G16" s="6"/>
      <c r="H16" s="6">
        <f>+H15+H14</f>
        <v>4558</v>
      </c>
    </row>
    <row r="17" spans="2:17" x14ac:dyDescent="0.2">
      <c r="B17" t="s">
        <v>44</v>
      </c>
      <c r="D17" s="6">
        <v>8198</v>
      </c>
      <c r="G17" s="6"/>
      <c r="H17" s="6">
        <v>8386</v>
      </c>
    </row>
    <row r="18" spans="2:17" s="2" customFormat="1" x14ac:dyDescent="0.2">
      <c r="B18" s="2" t="s">
        <v>9</v>
      </c>
      <c r="C18" s="6">
        <v>19586</v>
      </c>
      <c r="D18" s="6">
        <v>20008</v>
      </c>
      <c r="E18" s="6"/>
      <c r="F18" s="6"/>
      <c r="G18" s="6">
        <v>19757</v>
      </c>
      <c r="H18" s="6">
        <v>20836</v>
      </c>
      <c r="I18" s="6"/>
      <c r="J18" s="6">
        <v>46843</v>
      </c>
      <c r="K18" s="6">
        <v>50869</v>
      </c>
      <c r="L18" s="6">
        <v>60579</v>
      </c>
      <c r="M18" s="6">
        <v>59265</v>
      </c>
      <c r="N18" s="6">
        <v>61768</v>
      </c>
      <c r="O18" s="6">
        <v>74200</v>
      </c>
      <c r="P18" s="6">
        <v>79562</v>
      </c>
    </row>
    <row r="19" spans="2:17" s="2" customFormat="1" x14ac:dyDescent="0.2">
      <c r="B19" s="2" t="s">
        <v>10</v>
      </c>
      <c r="C19" s="6">
        <v>2229</v>
      </c>
      <c r="D19" s="6">
        <v>2322</v>
      </c>
      <c r="E19" s="6"/>
      <c r="F19" s="6"/>
      <c r="G19" s="6">
        <v>2326</v>
      </c>
      <c r="H19" s="6">
        <v>2319</v>
      </c>
      <c r="I19" s="6"/>
      <c r="J19" s="6">
        <v>8294</v>
      </c>
      <c r="K19" s="6">
        <v>8585</v>
      </c>
      <c r="L19" s="6">
        <v>9028</v>
      </c>
      <c r="M19" s="6">
        <v>6123</v>
      </c>
      <c r="N19" s="6">
        <v>5650</v>
      </c>
      <c r="O19" s="6">
        <v>8522</v>
      </c>
      <c r="P19" s="6">
        <v>9336</v>
      </c>
    </row>
    <row r="20" spans="2:17" s="7" customFormat="1" x14ac:dyDescent="0.2">
      <c r="B20" s="7" t="s">
        <v>7</v>
      </c>
      <c r="C20" s="8">
        <f>+C18+C19</f>
        <v>21815</v>
      </c>
      <c r="D20" s="8">
        <f>+D18+D19</f>
        <v>22330</v>
      </c>
      <c r="E20" s="8"/>
      <c r="F20" s="8"/>
      <c r="G20" s="8">
        <f>+G18+G19</f>
        <v>22083</v>
      </c>
      <c r="H20" s="8">
        <f>+H18+H19</f>
        <v>23155</v>
      </c>
      <c r="I20" s="8"/>
      <c r="J20" s="8">
        <f t="shared" ref="J20:K20" si="0">+J18+J19</f>
        <v>55137</v>
      </c>
      <c r="K20" s="8">
        <f t="shared" si="0"/>
        <v>59454</v>
      </c>
      <c r="L20" s="8">
        <f>+L18+L19</f>
        <v>69607</v>
      </c>
      <c r="M20" s="8">
        <f>+M18+M19</f>
        <v>65388</v>
      </c>
      <c r="N20" s="8">
        <f>+N18+N19</f>
        <v>67418</v>
      </c>
      <c r="O20" s="8">
        <f>+O18+O19</f>
        <v>82722</v>
      </c>
      <c r="P20" s="8">
        <f>+P18+P19</f>
        <v>88898</v>
      </c>
    </row>
    <row r="21" spans="2:17" x14ac:dyDescent="0.2">
      <c r="B21" t="s">
        <v>11</v>
      </c>
      <c r="C21" s="6">
        <f>13160+1456</f>
        <v>14616</v>
      </c>
      <c r="D21" s="6">
        <f>12974+1497</f>
        <v>14471</v>
      </c>
      <c r="G21" s="6">
        <f>12663+1509</f>
        <v>14172</v>
      </c>
      <c r="H21" s="6">
        <f>13236+1473</f>
        <v>14709</v>
      </c>
      <c r="J21" s="6">
        <f>25320+4986</f>
        <v>30306</v>
      </c>
      <c r="K21" s="6">
        <f>27528+5198</f>
        <v>32726</v>
      </c>
      <c r="L21" s="6">
        <f>36493+5568</f>
        <v>42061</v>
      </c>
      <c r="M21" s="6">
        <f>39406+4474</f>
        <v>43880</v>
      </c>
      <c r="N21" s="6">
        <f>41129+4002</f>
        <v>45131</v>
      </c>
      <c r="O21" s="6">
        <f>48962+5439</f>
        <v>54401</v>
      </c>
      <c r="P21" s="6">
        <f>53139+6062</f>
        <v>59201</v>
      </c>
    </row>
    <row r="22" spans="2:17" x14ac:dyDescent="0.2">
      <c r="B22" t="s">
        <v>12</v>
      </c>
      <c r="C22" s="6">
        <f>+C20-C21</f>
        <v>7199</v>
      </c>
      <c r="D22" s="6">
        <f>+D20-D21</f>
        <v>7859</v>
      </c>
      <c r="G22" s="6">
        <f>+G20-G21</f>
        <v>7911</v>
      </c>
      <c r="H22" s="6">
        <f>+H20-H21</f>
        <v>8446</v>
      </c>
      <c r="J22" s="6">
        <f t="shared" ref="J22:K22" si="1">+J20-J21</f>
        <v>24831</v>
      </c>
      <c r="K22" s="6">
        <f t="shared" si="1"/>
        <v>26728</v>
      </c>
      <c r="L22" s="6">
        <f>+L20-L21</f>
        <v>27546</v>
      </c>
      <c r="M22" s="6">
        <f>+M20-M21</f>
        <v>21508</v>
      </c>
      <c r="N22" s="6">
        <f>+N20-N21</f>
        <v>22287</v>
      </c>
      <c r="O22" s="6">
        <f>+O20-O21</f>
        <v>28321</v>
      </c>
      <c r="P22" s="6">
        <f>+P20-P21</f>
        <v>29697</v>
      </c>
    </row>
    <row r="23" spans="2:17" x14ac:dyDescent="0.2">
      <c r="B23" t="s">
        <v>13</v>
      </c>
      <c r="C23" s="6">
        <v>3614</v>
      </c>
      <c r="D23" s="6">
        <v>2874</v>
      </c>
      <c r="G23" s="6">
        <v>3790</v>
      </c>
      <c r="H23" s="6">
        <v>3872</v>
      </c>
      <c r="J23" s="6">
        <v>8176</v>
      </c>
      <c r="K23" s="6">
        <v>8860</v>
      </c>
      <c r="L23" s="6">
        <v>11549</v>
      </c>
      <c r="M23" s="6">
        <v>12369</v>
      </c>
      <c r="N23" s="6">
        <v>13517</v>
      </c>
      <c r="O23" s="6">
        <v>16388</v>
      </c>
      <c r="P23" s="6">
        <v>15336</v>
      </c>
    </row>
    <row r="24" spans="2:17" x14ac:dyDescent="0.2">
      <c r="B24" t="s">
        <v>14</v>
      </c>
      <c r="C24" s="6">
        <f>+C22-C23</f>
        <v>3585</v>
      </c>
      <c r="D24" s="6">
        <f>+D22-D23</f>
        <v>4985</v>
      </c>
      <c r="G24" s="6">
        <f>+G22-G23</f>
        <v>4121</v>
      </c>
      <c r="H24" s="6">
        <f>+H22-H23</f>
        <v>4574</v>
      </c>
      <c r="J24" s="6">
        <f t="shared" ref="J24:K24" si="2">+J22-J23</f>
        <v>16655</v>
      </c>
      <c r="K24" s="6">
        <f t="shared" si="2"/>
        <v>17868</v>
      </c>
      <c r="L24" s="6">
        <f>+L22-L23</f>
        <v>15997</v>
      </c>
      <c r="M24" s="6">
        <f>+M22-M23</f>
        <v>9139</v>
      </c>
      <c r="N24" s="6">
        <f>+N22-N23</f>
        <v>8770</v>
      </c>
      <c r="O24" s="6">
        <f>+O22-O23</f>
        <v>11933</v>
      </c>
      <c r="P24" s="6">
        <f>+P22-P23</f>
        <v>14361</v>
      </c>
    </row>
    <row r="25" spans="2:17" x14ac:dyDescent="0.2">
      <c r="B25" t="s">
        <v>18</v>
      </c>
      <c r="C25" s="3">
        <f>149-322+173</f>
        <v>0</v>
      </c>
      <c r="D25" s="3">
        <f>-11-305+191</f>
        <v>-125</v>
      </c>
      <c r="G25" s="3">
        <f>-311+141</f>
        <v>-170</v>
      </c>
      <c r="H25" s="3">
        <f>65-342+146</f>
        <v>-131</v>
      </c>
      <c r="J25" s="6">
        <f>78-385+320</f>
        <v>13</v>
      </c>
      <c r="K25" s="6">
        <f>601-574-102</f>
        <v>-75</v>
      </c>
      <c r="L25" s="6">
        <f>-978-103</f>
        <v>-1081</v>
      </c>
      <c r="M25" s="6">
        <f>1038-1491+651</f>
        <v>198</v>
      </c>
      <c r="N25" s="6">
        <f>201-1406+761</f>
        <v>-444</v>
      </c>
      <c r="O25" s="6">
        <f>-667-1397+816</f>
        <v>-1248</v>
      </c>
      <c r="P25" s="6">
        <f>96-1209+782</f>
        <v>-331</v>
      </c>
    </row>
    <row r="26" spans="2:17" x14ac:dyDescent="0.2">
      <c r="B26" t="s">
        <v>17</v>
      </c>
      <c r="C26" s="6">
        <f>+C24+C25</f>
        <v>3585</v>
      </c>
      <c r="D26" s="6">
        <f>+D24+D25</f>
        <v>4860</v>
      </c>
      <c r="G26" s="6">
        <f>+G24+G25</f>
        <v>3951</v>
      </c>
      <c r="H26" s="6">
        <f>+H24+H25</f>
        <v>4443</v>
      </c>
      <c r="J26" s="6">
        <f t="shared" ref="J26:K26" si="3">+J24+J25</f>
        <v>16668</v>
      </c>
      <c r="K26" s="6">
        <f t="shared" si="3"/>
        <v>17793</v>
      </c>
      <c r="L26" s="6">
        <f>+L24+L25</f>
        <v>14916</v>
      </c>
      <c r="M26" s="6">
        <f>+M24+M25</f>
        <v>9337</v>
      </c>
      <c r="N26" s="6">
        <f>+N24+N25</f>
        <v>8326</v>
      </c>
      <c r="O26" s="6">
        <f>+O24+O25</f>
        <v>10685</v>
      </c>
      <c r="P26" s="6">
        <f>+P24+P25</f>
        <v>14030</v>
      </c>
    </row>
    <row r="27" spans="2:17" x14ac:dyDescent="0.2">
      <c r="B27" t="s">
        <v>19</v>
      </c>
      <c r="C27" s="3">
        <f>635-217</f>
        <v>418</v>
      </c>
      <c r="D27" s="3">
        <f>19+307</f>
        <v>326</v>
      </c>
      <c r="G27" s="3">
        <f>441-236</f>
        <v>205</v>
      </c>
      <c r="H27" s="3">
        <f>251+221</f>
        <v>472</v>
      </c>
      <c r="J27" s="6">
        <f>4422+386</f>
        <v>4808</v>
      </c>
      <c r="K27" s="6">
        <f>1663+468</f>
        <v>2131</v>
      </c>
      <c r="L27" s="6">
        <f>3026-687+472+58</f>
        <v>2869</v>
      </c>
      <c r="M27" s="6">
        <f>699+32+390</f>
        <v>1121</v>
      </c>
      <c r="N27" s="6">
        <f>25+29+512</f>
        <v>566</v>
      </c>
      <c r="O27" s="6">
        <f>1732+48+360</f>
        <v>2140</v>
      </c>
      <c r="P27" s="6">
        <f>1379+1036</f>
        <v>2415</v>
      </c>
    </row>
    <row r="28" spans="2:17" x14ac:dyDescent="0.2">
      <c r="B28" t="s">
        <v>20</v>
      </c>
      <c r="C28" s="6">
        <f>+C26-C27</f>
        <v>3167</v>
      </c>
      <c r="D28" s="6">
        <f>+D26-D27</f>
        <v>4534</v>
      </c>
      <c r="G28" s="6">
        <f>+G26-G27</f>
        <v>3746</v>
      </c>
      <c r="H28" s="6">
        <f>+H26-H27</f>
        <v>3971</v>
      </c>
      <c r="J28" s="6">
        <f t="shared" ref="J28:K28" si="4">+J26-J27</f>
        <v>11860</v>
      </c>
      <c r="K28" s="6">
        <f t="shared" si="4"/>
        <v>15662</v>
      </c>
      <c r="L28" s="6">
        <f>+L26-L27</f>
        <v>12047</v>
      </c>
      <c r="M28" s="6">
        <f>+M26-M27</f>
        <v>8216</v>
      </c>
      <c r="N28" s="6">
        <f>+N26-N27</f>
        <v>7760</v>
      </c>
      <c r="O28" s="6">
        <f>+O26-O27</f>
        <v>8545</v>
      </c>
      <c r="P28" s="6">
        <f>+P26-P27</f>
        <v>11615</v>
      </c>
    </row>
    <row r="29" spans="2:17" x14ac:dyDescent="0.2">
      <c r="B29" t="s">
        <v>21</v>
      </c>
      <c r="C29" s="10">
        <f>+C28/C30</f>
        <v>1.7324945295404814</v>
      </c>
      <c r="D29" s="10">
        <f>+D28/D30</f>
        <v>2.4789502460360855</v>
      </c>
      <c r="G29" s="10">
        <f>+G28/G30</f>
        <v>2.0425299890948745</v>
      </c>
      <c r="H29" s="10">
        <f>+H28/H30</f>
        <v>2.1806699615595826</v>
      </c>
      <c r="J29" s="10">
        <f t="shared" ref="J29:K29" si="5">+J28/J30</f>
        <v>7.5637755102040813</v>
      </c>
      <c r="K29" s="10">
        <f t="shared" si="5"/>
        <v>10.448298865910607</v>
      </c>
      <c r="L29" s="10">
        <f>+L28/L30</f>
        <v>7.27475845410628</v>
      </c>
      <c r="M29" s="10">
        <f>+M28/M30</f>
        <v>4.5442477876106198</v>
      </c>
      <c r="N29" s="10">
        <f>+N28/N30</f>
        <v>4.2731277533039647</v>
      </c>
      <c r="O29" s="10">
        <f>+O28/O30</f>
        <v>4.6899012074643247</v>
      </c>
      <c r="P29" s="10">
        <f>+P28/P30</f>
        <v>6.3539387308533914</v>
      </c>
    </row>
    <row r="30" spans="2:17" x14ac:dyDescent="0.2">
      <c r="B30" t="s">
        <v>1</v>
      </c>
      <c r="C30" s="6">
        <v>1828</v>
      </c>
      <c r="D30" s="6">
        <v>1829</v>
      </c>
      <c r="G30" s="6">
        <v>1834</v>
      </c>
      <c r="H30" s="6">
        <v>1821</v>
      </c>
      <c r="J30" s="6">
        <v>1568</v>
      </c>
      <c r="K30" s="6">
        <v>1499</v>
      </c>
      <c r="L30" s="6">
        <v>1656</v>
      </c>
      <c r="M30" s="6">
        <v>1808</v>
      </c>
      <c r="N30" s="6">
        <v>1816</v>
      </c>
      <c r="O30" s="6">
        <v>1822</v>
      </c>
      <c r="P30" s="6">
        <v>1828</v>
      </c>
    </row>
    <row r="32" spans="2:17" x14ac:dyDescent="0.2">
      <c r="B32" t="s">
        <v>15</v>
      </c>
      <c r="G32" s="9">
        <f>+G22/G20</f>
        <v>0.35823936965086267</v>
      </c>
      <c r="H32" s="9">
        <f>+H22/H20</f>
        <v>0.36475923126754478</v>
      </c>
      <c r="J32" s="9">
        <f t="shared" ref="J32" si="6">+J22/J20</f>
        <v>0.45035094401218784</v>
      </c>
      <c r="K32" s="9">
        <f t="shared" ref="K32" si="7">+K22/K20</f>
        <v>0.44955764120160124</v>
      </c>
      <c r="L32" s="9">
        <f>+L22/L20</f>
        <v>0.39573606102834485</v>
      </c>
      <c r="M32" s="9">
        <f t="shared" ref="M32:P32" si="8">+M22/M20</f>
        <v>0.32892885544748274</v>
      </c>
      <c r="N32" s="9">
        <f t="shared" si="8"/>
        <v>0.33057937049452668</v>
      </c>
      <c r="O32" s="9">
        <f t="shared" si="8"/>
        <v>0.34236357921713689</v>
      </c>
      <c r="P32" s="9">
        <f t="shared" si="8"/>
        <v>0.33405700915656145</v>
      </c>
      <c r="Q32" s="9"/>
    </row>
    <row r="33" spans="2:17" x14ac:dyDescent="0.2">
      <c r="B33" t="s">
        <v>16</v>
      </c>
      <c r="G33" s="9">
        <f>+G24/G20</f>
        <v>0.18661413757188788</v>
      </c>
      <c r="H33" s="9">
        <f>+H24/H20</f>
        <v>0.19753832865471821</v>
      </c>
      <c r="J33" s="9">
        <f t="shared" ref="J33" si="9">+J24/J20</f>
        <v>0.3020657634619221</v>
      </c>
      <c r="K33" s="9">
        <f t="shared" ref="K33" si="10">+K24/K20</f>
        <v>0.30053486729236051</v>
      </c>
      <c r="L33" s="9">
        <f>+L24/L20</f>
        <v>0.22981884005918946</v>
      </c>
      <c r="M33" s="9">
        <f t="shared" ref="M33:P33" si="11">+M24/M20</f>
        <v>0.13976570624579435</v>
      </c>
      <c r="N33" s="9">
        <f t="shared" si="11"/>
        <v>0.1300839538402207</v>
      </c>
      <c r="O33" s="9">
        <f t="shared" si="11"/>
        <v>0.14425424917192525</v>
      </c>
      <c r="P33" s="9">
        <f t="shared" si="11"/>
        <v>0.16154469166910393</v>
      </c>
      <c r="Q33" s="9"/>
    </row>
    <row r="34" spans="2:17" s="4" customFormat="1" x14ac:dyDescent="0.2">
      <c r="B34" s="4" t="s">
        <v>41</v>
      </c>
      <c r="C34" s="5"/>
      <c r="D34" s="5"/>
      <c r="E34" s="5"/>
      <c r="F34" s="5"/>
      <c r="G34" s="12">
        <f>+G20/C20-1</f>
        <v>1.2285124914049872E-2</v>
      </c>
      <c r="H34" s="12">
        <f>+H20/D20-1</f>
        <v>3.6945812807881673E-2</v>
      </c>
      <c r="I34" s="5"/>
      <c r="J34" s="5"/>
      <c r="K34" s="12">
        <f>+K20/J20-1</f>
        <v>7.8295881168725101E-2</v>
      </c>
      <c r="L34" s="12">
        <f>+L20/K20-1</f>
        <v>0.17077067985333194</v>
      </c>
      <c r="M34" s="12">
        <f>+M20/L20-1</f>
        <v>-6.0611720085623544E-2</v>
      </c>
      <c r="N34" s="12">
        <f t="shared" ref="N34:P34" si="12">+N20/M20-1</f>
        <v>3.1045451764849741E-2</v>
      </c>
      <c r="O34" s="12">
        <f t="shared" si="12"/>
        <v>0.22700169094307165</v>
      </c>
      <c r="P34" s="12">
        <f t="shared" si="12"/>
        <v>7.4659703585503223E-2</v>
      </c>
      <c r="Q34" s="12"/>
    </row>
    <row r="37" spans="2:17" x14ac:dyDescent="0.2">
      <c r="B37" t="s">
        <v>3</v>
      </c>
      <c r="H37" s="6">
        <f>5954+4632</f>
        <v>10586</v>
      </c>
    </row>
    <row r="38" spans="2:17" x14ac:dyDescent="0.2">
      <c r="B38" t="s">
        <v>22</v>
      </c>
      <c r="H38" s="6">
        <v>12966</v>
      </c>
    </row>
    <row r="39" spans="2:17" x14ac:dyDescent="0.2">
      <c r="B39" t="s">
        <v>23</v>
      </c>
      <c r="H39" s="6">
        <v>1984</v>
      </c>
    </row>
    <row r="40" spans="2:17" x14ac:dyDescent="0.2">
      <c r="B40" t="s">
        <v>24</v>
      </c>
      <c r="H40" s="6">
        <v>1992</v>
      </c>
    </row>
    <row r="41" spans="2:17" x14ac:dyDescent="0.2">
      <c r="B41" t="s">
        <v>25</v>
      </c>
      <c r="H41" s="6">
        <v>2597</v>
      </c>
    </row>
    <row r="42" spans="2:17" x14ac:dyDescent="0.2">
      <c r="B42" t="s">
        <v>26</v>
      </c>
      <c r="H42" s="6">
        <v>32799</v>
      </c>
    </row>
    <row r="43" spans="2:17" x14ac:dyDescent="0.2">
      <c r="B43" t="s">
        <v>27</v>
      </c>
      <c r="H43" s="6">
        <v>36041</v>
      </c>
    </row>
    <row r="44" spans="2:17" x14ac:dyDescent="0.2">
      <c r="B44" t="s">
        <v>28</v>
      </c>
      <c r="H44" s="6">
        <f>11107+73914</f>
        <v>85021</v>
      </c>
    </row>
    <row r="45" spans="2:17" x14ac:dyDescent="0.2">
      <c r="B45" t="s">
        <v>29</v>
      </c>
      <c r="H45" s="6">
        <v>13786</v>
      </c>
    </row>
    <row r="46" spans="2:17" x14ac:dyDescent="0.2">
      <c r="B46" t="s">
        <v>30</v>
      </c>
      <c r="H46" s="6">
        <f>SUM(H37:H45)</f>
        <v>197772</v>
      </c>
    </row>
    <row r="48" spans="2:17" x14ac:dyDescent="0.2">
      <c r="B48" t="s">
        <v>31</v>
      </c>
      <c r="H48" s="6">
        <v>20216</v>
      </c>
    </row>
    <row r="49" spans="2:17" x14ac:dyDescent="0.2">
      <c r="B49" t="s">
        <v>4</v>
      </c>
      <c r="H49" s="6">
        <f>8060+39524</f>
        <v>47584</v>
      </c>
    </row>
    <row r="50" spans="2:17" x14ac:dyDescent="0.2">
      <c r="B50" t="s">
        <v>36</v>
      </c>
      <c r="H50" s="6">
        <v>7336</v>
      </c>
    </row>
    <row r="51" spans="2:17" x14ac:dyDescent="0.2">
      <c r="B51" t="s">
        <v>32</v>
      </c>
      <c r="H51" s="6">
        <v>6628</v>
      </c>
    </row>
    <row r="52" spans="2:17" x14ac:dyDescent="0.2">
      <c r="B52" t="s">
        <v>33</v>
      </c>
      <c r="H52" s="6">
        <v>10705</v>
      </c>
    </row>
    <row r="53" spans="2:17" x14ac:dyDescent="0.2">
      <c r="B53" t="s">
        <v>34</v>
      </c>
      <c r="H53" s="6">
        <v>105303</v>
      </c>
    </row>
    <row r="54" spans="2:17" x14ac:dyDescent="0.2">
      <c r="B54" t="s">
        <v>35</v>
      </c>
      <c r="H54" s="6">
        <f>SUM(H48:H53)</f>
        <v>197772</v>
      </c>
    </row>
    <row r="56" spans="2:17" x14ac:dyDescent="0.2">
      <c r="B56" t="s">
        <v>37</v>
      </c>
      <c r="H56" s="6">
        <f>8453-G56-F56</f>
        <v>8453</v>
      </c>
      <c r="J56" s="6">
        <v>12343</v>
      </c>
      <c r="K56" s="6">
        <v>14295</v>
      </c>
      <c r="L56" s="6">
        <v>5984</v>
      </c>
      <c r="O56" s="2">
        <v>5566</v>
      </c>
      <c r="P56" s="6">
        <v>6002</v>
      </c>
      <c r="Q56" s="6">
        <v>9866</v>
      </c>
    </row>
    <row r="57" spans="2:17" x14ac:dyDescent="0.2">
      <c r="B57" t="s">
        <v>67</v>
      </c>
      <c r="H57" s="6"/>
      <c r="J57" s="6">
        <v>3623</v>
      </c>
      <c r="K57" s="6">
        <v>4465</v>
      </c>
      <c r="L57" s="6">
        <v>4876</v>
      </c>
      <c r="O57" s="2">
        <v>3578</v>
      </c>
      <c r="P57" s="6">
        <v>4943</v>
      </c>
      <c r="Q57" s="6">
        <v>4969</v>
      </c>
    </row>
    <row r="58" spans="2:17" x14ac:dyDescent="0.2">
      <c r="B58" t="s">
        <v>68</v>
      </c>
      <c r="H58" s="6"/>
      <c r="J58" s="6">
        <f>+J56-J57</f>
        <v>8720</v>
      </c>
      <c r="K58" s="6">
        <f>+K56-K57</f>
        <v>9830</v>
      </c>
      <c r="L58" s="6">
        <f>+L56-L57</f>
        <v>1108</v>
      </c>
      <c r="O58" s="2">
        <f>+O56-O57</f>
        <v>1988</v>
      </c>
      <c r="P58" s="6">
        <f>+P56-P57</f>
        <v>1059</v>
      </c>
      <c r="Q58" s="6">
        <f>+Q56-Q57</f>
        <v>4897</v>
      </c>
    </row>
    <row r="60" spans="2:17" x14ac:dyDescent="0.2">
      <c r="B60" t="s">
        <v>45</v>
      </c>
      <c r="D60" s="3">
        <v>408</v>
      </c>
      <c r="H60" s="3">
        <v>1201</v>
      </c>
    </row>
    <row r="61" spans="2:17" x14ac:dyDescent="0.2">
      <c r="B61" t="s">
        <v>46</v>
      </c>
      <c r="D61" s="3">
        <v>854</v>
      </c>
      <c r="H61" s="3">
        <v>802</v>
      </c>
    </row>
    <row r="62" spans="2:17" x14ac:dyDescent="0.2">
      <c r="B62" t="s">
        <v>47</v>
      </c>
      <c r="D62" s="3">
        <v>2297</v>
      </c>
      <c r="H62" s="3">
        <v>2222</v>
      </c>
    </row>
    <row r="64" spans="2:17" x14ac:dyDescent="0.2">
      <c r="B64" t="s">
        <v>50</v>
      </c>
      <c r="D64" s="9">
        <f>+D60/D13</f>
        <v>4.0288338106053125E-2</v>
      </c>
      <c r="H64" s="9">
        <f>+H60/H13</f>
        <v>0.11351606805293006</v>
      </c>
    </row>
    <row r="65" spans="2:8" x14ac:dyDescent="0.2">
      <c r="B65" t="s">
        <v>51</v>
      </c>
      <c r="D65" s="9">
        <f>+D61/D16</f>
        <v>0.19700115340253749</v>
      </c>
      <c r="H65" s="9">
        <f>+H61/H16</f>
        <v>0.17595436594997807</v>
      </c>
    </row>
    <row r="66" spans="2:8" x14ac:dyDescent="0.2">
      <c r="B66" t="s">
        <v>52</v>
      </c>
      <c r="D66" s="9">
        <f>+D62/D17</f>
        <v>0.28019029031471093</v>
      </c>
      <c r="H66" s="9">
        <f>+H62/H17</f>
        <v>0.2649654185547341</v>
      </c>
    </row>
  </sheetData>
  <hyperlinks>
    <hyperlink ref="A1" location="Main!A1" display="Main" xr:uid="{CD0BA4EA-D892-4986-A3CE-C3AD36EEDA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2024-08-13T15:14:55Z</dcterms:created>
  <dcterms:modified xsi:type="dcterms:W3CDTF">2025-10-08T15:57:18Z</dcterms:modified>
</cp:coreProperties>
</file>