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F236DF4-548D-4968-8F29-975BCCE9FDED}" xr6:coauthVersionLast="47" xr6:coauthVersionMax="47" xr10:uidLastSave="{00000000-0000-0000-0000-000000000000}"/>
  <bookViews>
    <workbookView xWindow="3285" yWindow="3285" windowWidth="18075" windowHeight="16020" xr2:uid="{A1C1684E-FBEC-4D33-A009-053BECC740F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82" i="2" l="1"/>
  <c r="AE82" i="2"/>
  <c r="AG80" i="2"/>
  <c r="AF80" i="2"/>
  <c r="AG81" i="2" s="1"/>
  <c r="AF20" i="2"/>
  <c r="AG20" i="2"/>
  <c r="AG16" i="2"/>
  <c r="AF16" i="2"/>
  <c r="AK2" i="2"/>
  <c r="AJ2" i="2"/>
  <c r="AI2" i="2"/>
  <c r="AH2" i="2"/>
  <c r="AG2" i="2"/>
  <c r="R37" i="2"/>
  <c r="R78" i="2"/>
  <c r="R76" i="2"/>
  <c r="R73" i="2"/>
  <c r="R71" i="2"/>
  <c r="R69" i="2"/>
  <c r="R66" i="2"/>
  <c r="R42" i="2"/>
  <c r="R45" i="2" s="1"/>
  <c r="R38" i="2"/>
  <c r="R54" i="2"/>
  <c r="N20" i="2"/>
  <c r="R20" i="2"/>
  <c r="R18" i="2"/>
  <c r="T18" i="2"/>
  <c r="S18" i="2"/>
  <c r="S20" i="2" s="1"/>
  <c r="O18" i="2"/>
  <c r="O20" i="2" s="1"/>
  <c r="S78" i="2"/>
  <c r="S76" i="2"/>
  <c r="S71" i="2"/>
  <c r="S69" i="2"/>
  <c r="S66" i="2"/>
  <c r="Q56" i="2"/>
  <c r="P56" i="2"/>
  <c r="M56" i="2"/>
  <c r="L56" i="2"/>
  <c r="S37" i="2"/>
  <c r="S54" i="2"/>
  <c r="S45" i="2"/>
  <c r="S42" i="2"/>
  <c r="S38" i="2"/>
  <c r="P31" i="2"/>
  <c r="Q29" i="2"/>
  <c r="P29" i="2"/>
  <c r="Q27" i="2"/>
  <c r="P27" i="2"/>
  <c r="S24" i="2"/>
  <c r="R24" i="2"/>
  <c r="R25" i="2" s="1"/>
  <c r="R27" i="2" s="1"/>
  <c r="R29" i="2" s="1"/>
  <c r="R56" i="2" s="1"/>
  <c r="Q24" i="2"/>
  <c r="Q25" i="2" s="1"/>
  <c r="P24" i="2"/>
  <c r="P25" i="2" s="1"/>
  <c r="O24" i="2"/>
  <c r="Q2" i="2"/>
  <c r="R2" i="2"/>
  <c r="S2" i="2"/>
  <c r="V2" i="2"/>
  <c r="U2" i="2"/>
  <c r="T2" i="2"/>
  <c r="O2" i="2"/>
  <c r="N2" i="2"/>
  <c r="M2" i="2"/>
  <c r="L2" i="2"/>
  <c r="P2" i="2" s="1"/>
  <c r="N5" i="1"/>
  <c r="M23" i="2"/>
  <c r="L23" i="2"/>
  <c r="M22" i="2"/>
  <c r="L22" i="2"/>
  <c r="M21" i="2"/>
  <c r="L21" i="2"/>
  <c r="L31" i="2"/>
  <c r="M31" i="2" s="1"/>
  <c r="L20" i="2"/>
  <c r="L19" i="2" s="1"/>
  <c r="M18" i="2"/>
  <c r="M20" i="2" s="1"/>
  <c r="AH18" i="2"/>
  <c r="AH33" i="2" s="1"/>
  <c r="AH31" i="2"/>
  <c r="AH22" i="2"/>
  <c r="AI22" i="2" s="1"/>
  <c r="AJ22" i="2" s="1"/>
  <c r="AK22" i="2" s="1"/>
  <c r="AL22" i="2" s="1"/>
  <c r="AM22" i="2" s="1"/>
  <c r="AF34" i="2"/>
  <c r="Y80" i="2"/>
  <c r="Z80" i="2"/>
  <c r="Z33" i="2"/>
  <c r="Y24" i="2"/>
  <c r="Y20" i="2"/>
  <c r="Y34" i="2" s="1"/>
  <c r="AB80" i="2"/>
  <c r="AA80" i="2"/>
  <c r="AD80" i="2"/>
  <c r="AC80" i="2"/>
  <c r="AC81" i="2" s="1"/>
  <c r="E24" i="2"/>
  <c r="E20" i="2"/>
  <c r="I24" i="2"/>
  <c r="I20" i="2"/>
  <c r="I34" i="2" s="1"/>
  <c r="I51" i="2"/>
  <c r="I54" i="2" s="1"/>
  <c r="I42" i="2"/>
  <c r="I38" i="2"/>
  <c r="I37" i="2" s="1"/>
  <c r="D16" i="2"/>
  <c r="D18" i="2" s="1"/>
  <c r="D20" i="2" s="1"/>
  <c r="H16" i="2"/>
  <c r="H18" i="2" s="1"/>
  <c r="H20" i="2" s="1"/>
  <c r="H34" i="2" s="1"/>
  <c r="H77" i="2"/>
  <c r="I77" i="2" s="1"/>
  <c r="J77" i="2" s="1"/>
  <c r="H75" i="2"/>
  <c r="I75" i="2" s="1"/>
  <c r="J75" i="2" s="1"/>
  <c r="H74" i="2"/>
  <c r="I74" i="2" s="1"/>
  <c r="J74" i="2" s="1"/>
  <c r="H73" i="2"/>
  <c r="H70" i="2"/>
  <c r="I70" i="2" s="1"/>
  <c r="J70" i="2" s="1"/>
  <c r="H68" i="2"/>
  <c r="I68" i="2" s="1"/>
  <c r="H65" i="2"/>
  <c r="I65" i="2" s="1"/>
  <c r="J65" i="2" s="1"/>
  <c r="H64" i="2"/>
  <c r="I64" i="2" s="1"/>
  <c r="J64" i="2" s="1"/>
  <c r="H63" i="2"/>
  <c r="I63" i="2" s="1"/>
  <c r="J63" i="2" s="1"/>
  <c r="H62" i="2"/>
  <c r="I62" i="2" s="1"/>
  <c r="J62" i="2" s="1"/>
  <c r="H61" i="2"/>
  <c r="I61" i="2" s="1"/>
  <c r="J61" i="2" s="1"/>
  <c r="H60" i="2"/>
  <c r="I60" i="2" s="1"/>
  <c r="J60" i="2" s="1"/>
  <c r="H59" i="2"/>
  <c r="I59" i="2" s="1"/>
  <c r="J59" i="2" s="1"/>
  <c r="H58" i="2"/>
  <c r="I58" i="2" s="1"/>
  <c r="J58" i="2" s="1"/>
  <c r="H57" i="2"/>
  <c r="I33" i="2"/>
  <c r="D24" i="2"/>
  <c r="H24" i="2"/>
  <c r="J20" i="2"/>
  <c r="J34" i="2" s="1"/>
  <c r="J24" i="2"/>
  <c r="H51" i="2"/>
  <c r="H54" i="2" s="1"/>
  <c r="H42" i="2"/>
  <c r="H38" i="2"/>
  <c r="H37" i="2" s="1"/>
  <c r="H45" i="2"/>
  <c r="G76" i="2"/>
  <c r="G69" i="2"/>
  <c r="H69" i="2" s="1"/>
  <c r="I69" i="2" s="1"/>
  <c r="J69" i="2" s="1"/>
  <c r="G66" i="2"/>
  <c r="C24" i="2"/>
  <c r="C20" i="2"/>
  <c r="G51" i="2"/>
  <c r="G54" i="2" s="1"/>
  <c r="G42" i="2"/>
  <c r="G38" i="2"/>
  <c r="G37" i="2" s="1"/>
  <c r="J51" i="2"/>
  <c r="J54" i="2" s="1"/>
  <c r="J42" i="2"/>
  <c r="J38" i="2"/>
  <c r="J45" i="2" s="1"/>
  <c r="AE16" i="2"/>
  <c r="AE18" i="2" s="1"/>
  <c r="AD16" i="2"/>
  <c r="AD18" i="2" s="1"/>
  <c r="AC16" i="2"/>
  <c r="AC18" i="2" s="1"/>
  <c r="G16" i="2"/>
  <c r="G18" i="2" s="1"/>
  <c r="G33" i="2" s="1"/>
  <c r="K16" i="2"/>
  <c r="K18" i="2" s="1"/>
  <c r="K20" i="2" s="1"/>
  <c r="K34" i="2" s="1"/>
  <c r="K73" i="2"/>
  <c r="K76" i="2" s="1"/>
  <c r="K69" i="2"/>
  <c r="K71" i="2" s="1"/>
  <c r="K66" i="2"/>
  <c r="K51" i="2"/>
  <c r="K54" i="2" s="1"/>
  <c r="K42" i="2"/>
  <c r="K38" i="2"/>
  <c r="K37" i="2" s="1"/>
  <c r="AA33" i="2"/>
  <c r="Z24" i="2"/>
  <c r="Z20" i="2"/>
  <c r="Z34" i="2" s="1"/>
  <c r="AB33" i="2"/>
  <c r="AA24" i="2"/>
  <c r="AA20" i="2"/>
  <c r="AA34" i="2" s="1"/>
  <c r="AB24" i="2"/>
  <c r="AB20" i="2"/>
  <c r="AB34" i="2" s="1"/>
  <c r="AC24" i="2"/>
  <c r="J33" i="2"/>
  <c r="AE24" i="2"/>
  <c r="AD24" i="2"/>
  <c r="F24" i="2"/>
  <c r="F20" i="2"/>
  <c r="N4" i="1"/>
  <c r="G24" i="2"/>
  <c r="K24" i="2"/>
  <c r="AF81" i="2" l="1"/>
  <c r="AF82" i="2"/>
  <c r="S25" i="2"/>
  <c r="S27" i="2" s="1"/>
  <c r="S29" i="2" s="1"/>
  <c r="S56" i="2" s="1"/>
  <c r="O25" i="2"/>
  <c r="O27" i="2" s="1"/>
  <c r="O29" i="2" s="1"/>
  <c r="O56" i="2" s="1"/>
  <c r="Q31" i="2"/>
  <c r="P30" i="2"/>
  <c r="O30" i="2"/>
  <c r="J37" i="2"/>
  <c r="G45" i="2"/>
  <c r="AG33" i="2"/>
  <c r="M19" i="2"/>
  <c r="H76" i="2"/>
  <c r="AG34" i="2"/>
  <c r="M24" i="2"/>
  <c r="M25" i="2" s="1"/>
  <c r="M27" i="2" s="1"/>
  <c r="M28" i="2" s="1"/>
  <c r="M29" i="2" s="1"/>
  <c r="M30" i="2" s="1"/>
  <c r="N24" i="2"/>
  <c r="N25" i="2" s="1"/>
  <c r="N27" i="2" s="1"/>
  <c r="N29" i="2" s="1"/>
  <c r="L24" i="2"/>
  <c r="L25" i="2" s="1"/>
  <c r="L27" i="2" s="1"/>
  <c r="AE33" i="2"/>
  <c r="AA81" i="2"/>
  <c r="L28" i="2"/>
  <c r="L29" i="2" s="1"/>
  <c r="L30" i="2" s="1"/>
  <c r="AH21" i="2"/>
  <c r="AI18" i="2"/>
  <c r="AI33" i="2" s="1"/>
  <c r="AH20" i="2"/>
  <c r="AH34" i="2" s="1"/>
  <c r="Z81" i="2"/>
  <c r="AF24" i="2"/>
  <c r="AF25" i="2" s="1"/>
  <c r="AF27" i="2" s="1"/>
  <c r="H66" i="2"/>
  <c r="AH23" i="2"/>
  <c r="AI23" i="2" s="1"/>
  <c r="AJ23" i="2" s="1"/>
  <c r="AK23" i="2" s="1"/>
  <c r="AL23" i="2" s="1"/>
  <c r="AM23" i="2" s="1"/>
  <c r="I73" i="2"/>
  <c r="J73" i="2" s="1"/>
  <c r="J76" i="2" s="1"/>
  <c r="AI31" i="2"/>
  <c r="AD81" i="2"/>
  <c r="AB81" i="2"/>
  <c r="J25" i="2"/>
  <c r="I71" i="2"/>
  <c r="J68" i="2"/>
  <c r="J71" i="2" s="1"/>
  <c r="AE68" i="2"/>
  <c r="H25" i="2"/>
  <c r="G71" i="2"/>
  <c r="G78" i="2" s="1"/>
  <c r="I57" i="2"/>
  <c r="H71" i="2"/>
  <c r="I45" i="2"/>
  <c r="G20" i="2"/>
  <c r="Y25" i="2"/>
  <c r="E25" i="2"/>
  <c r="E27" i="2" s="1"/>
  <c r="E29" i="2" s="1"/>
  <c r="E30" i="2" s="1"/>
  <c r="I25" i="2"/>
  <c r="H33" i="2"/>
  <c r="D25" i="2"/>
  <c r="D27" i="2" s="1"/>
  <c r="D29" i="2" s="1"/>
  <c r="D30" i="2" s="1"/>
  <c r="C25" i="2"/>
  <c r="C27" i="2" s="1"/>
  <c r="C29" i="2" s="1"/>
  <c r="C30" i="2" s="1"/>
  <c r="AC33" i="2"/>
  <c r="AC20" i="2"/>
  <c r="AC34" i="2" s="1"/>
  <c r="AE20" i="2"/>
  <c r="AE34" i="2" s="1"/>
  <c r="AF33" i="2"/>
  <c r="AD33" i="2"/>
  <c r="AD20" i="2"/>
  <c r="AD34" i="2" s="1"/>
  <c r="N7" i="1"/>
  <c r="K78" i="2"/>
  <c r="K45" i="2"/>
  <c r="Z25" i="2"/>
  <c r="AA25" i="2"/>
  <c r="AB25" i="2"/>
  <c r="K33" i="2"/>
  <c r="K25" i="2"/>
  <c r="F25" i="2"/>
  <c r="F27" i="2" s="1"/>
  <c r="F29" i="2" s="1"/>
  <c r="F30" i="2" s="1"/>
  <c r="N30" i="2" l="1"/>
  <c r="N56" i="2"/>
  <c r="Q30" i="2"/>
  <c r="AF29" i="2"/>
  <c r="AF30" i="2" s="1"/>
  <c r="AF35" i="2"/>
  <c r="J27" i="2"/>
  <c r="J29" i="2" s="1"/>
  <c r="J30" i="2" s="1"/>
  <c r="J35" i="2"/>
  <c r="G25" i="2"/>
  <c r="G34" i="2"/>
  <c r="H27" i="2"/>
  <c r="H29" i="2" s="1"/>
  <c r="H35" i="2"/>
  <c r="I27" i="2"/>
  <c r="I29" i="2" s="1"/>
  <c r="I30" i="2" s="1"/>
  <c r="I35" i="2"/>
  <c r="I76" i="2"/>
  <c r="L37" i="2"/>
  <c r="M37" i="2" s="1"/>
  <c r="N37" i="2" s="1"/>
  <c r="AF37" i="2" s="1"/>
  <c r="K27" i="2"/>
  <c r="K29" i="2" s="1"/>
  <c r="K30" i="2" s="1"/>
  <c r="K35" i="2"/>
  <c r="AE25" i="2"/>
  <c r="Y27" i="2"/>
  <c r="Y29" i="2" s="1"/>
  <c r="Y30" i="2" s="1"/>
  <c r="Y35" i="2"/>
  <c r="AD25" i="2"/>
  <c r="AC25" i="2"/>
  <c r="H78" i="2"/>
  <c r="AB27" i="2"/>
  <c r="AB29" i="2" s="1"/>
  <c r="AB30" i="2" s="1"/>
  <c r="AB35" i="2"/>
  <c r="AA27" i="2"/>
  <c r="AA29" i="2" s="1"/>
  <c r="AA30" i="2" s="1"/>
  <c r="AA35" i="2"/>
  <c r="AJ18" i="2"/>
  <c r="AJ33" i="2" s="1"/>
  <c r="AI20" i="2"/>
  <c r="AI34" i="2" s="1"/>
  <c r="Z27" i="2"/>
  <c r="Z29" i="2" s="1"/>
  <c r="Z30" i="2" s="1"/>
  <c r="Z35" i="2"/>
  <c r="J56" i="2"/>
  <c r="AI21" i="2"/>
  <c r="AH24" i="2"/>
  <c r="AH25" i="2" s="1"/>
  <c r="AH35" i="2" s="1"/>
  <c r="AG24" i="2"/>
  <c r="AG25" i="2" s="1"/>
  <c r="AJ31" i="2"/>
  <c r="J57" i="2"/>
  <c r="J66" i="2" s="1"/>
  <c r="J78" i="2" s="1"/>
  <c r="I66" i="2"/>
  <c r="I56" i="2"/>
  <c r="S30" i="2" l="1"/>
  <c r="R30" i="2"/>
  <c r="K56" i="2"/>
  <c r="G27" i="2"/>
  <c r="G29" i="2" s="1"/>
  <c r="G35" i="2"/>
  <c r="AG27" i="2"/>
  <c r="AG29" i="2" s="1"/>
  <c r="AG30" i="2" s="1"/>
  <c r="AG35" i="2"/>
  <c r="H30" i="2"/>
  <c r="H56" i="2"/>
  <c r="AJ21" i="2"/>
  <c r="AI24" i="2"/>
  <c r="AI25" i="2" s="1"/>
  <c r="AI35" i="2" s="1"/>
  <c r="AK18" i="2"/>
  <c r="AK33" i="2" s="1"/>
  <c r="AJ20" i="2"/>
  <c r="AJ34" i="2" s="1"/>
  <c r="AC27" i="2"/>
  <c r="AC29" i="2" s="1"/>
  <c r="AC30" i="2" s="1"/>
  <c r="AC35" i="2"/>
  <c r="AD27" i="2"/>
  <c r="AD29" i="2" s="1"/>
  <c r="AD30" i="2" s="1"/>
  <c r="AD35" i="2"/>
  <c r="AE27" i="2"/>
  <c r="AE29" i="2" s="1"/>
  <c r="AE30" i="2" s="1"/>
  <c r="AE35" i="2"/>
  <c r="AK31" i="2"/>
  <c r="AE66" i="2"/>
  <c r="AE80" i="2" s="1"/>
  <c r="I78" i="2"/>
  <c r="AG37" i="2" l="1"/>
  <c r="AH26" i="2" s="1"/>
  <c r="AH27" i="2" s="1"/>
  <c r="AH28" i="2" s="1"/>
  <c r="AH29" i="2" s="1"/>
  <c r="AH30" i="2" s="1"/>
  <c r="G56" i="2"/>
  <c r="G30" i="2"/>
  <c r="AL18" i="2"/>
  <c r="AL33" i="2" s="1"/>
  <c r="AK20" i="2"/>
  <c r="AK34" i="2" s="1"/>
  <c r="AK21" i="2"/>
  <c r="AJ24" i="2"/>
  <c r="AJ25" i="2" s="1"/>
  <c r="AJ35" i="2" s="1"/>
  <c r="AL31" i="2"/>
  <c r="AE81" i="2"/>
  <c r="AH37" i="2" l="1"/>
  <c r="AL21" i="2"/>
  <c r="AK24" i="2"/>
  <c r="AK25" i="2" s="1"/>
  <c r="AK35" i="2" s="1"/>
  <c r="AM18" i="2"/>
  <c r="AL20" i="2"/>
  <c r="AL34" i="2" s="1"/>
  <c r="AM31" i="2"/>
  <c r="AM20" i="2" l="1"/>
  <c r="AM34" i="2" s="1"/>
  <c r="AM33" i="2"/>
  <c r="AI26" i="2"/>
  <c r="AI27" i="2" s="1"/>
  <c r="AI28" i="2" s="1"/>
  <c r="AI29" i="2" s="1"/>
  <c r="AM21" i="2"/>
  <c r="AM24" i="2" s="1"/>
  <c r="AL24" i="2"/>
  <c r="AL25" i="2" s="1"/>
  <c r="AL35" i="2" s="1"/>
  <c r="AM25" i="2" l="1"/>
  <c r="AM35" i="2" s="1"/>
  <c r="AI30" i="2"/>
  <c r="AI37" i="2"/>
  <c r="AJ26" i="2" l="1"/>
  <c r="AJ27" i="2" s="1"/>
  <c r="AJ28" i="2" s="1"/>
  <c r="AJ29" i="2" s="1"/>
  <c r="AJ30" i="2" l="1"/>
  <c r="AJ37" i="2"/>
  <c r="AK26" i="2" l="1"/>
  <c r="AK27" i="2" s="1"/>
  <c r="AK28" i="2" s="1"/>
  <c r="AK29" i="2" s="1"/>
  <c r="AK30" i="2" l="1"/>
  <c r="AK37" i="2"/>
  <c r="AL26" i="2" l="1"/>
  <c r="AL27" i="2" s="1"/>
  <c r="AL28" i="2" s="1"/>
  <c r="AL29" i="2" s="1"/>
  <c r="AL30" i="2" l="1"/>
  <c r="AL37" i="2"/>
  <c r="AM26" i="2" l="1"/>
  <c r="AM27" i="2" s="1"/>
  <c r="AM28" i="2" s="1"/>
  <c r="AM29" i="2" s="1"/>
  <c r="AN29" i="2" l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DL29" i="2" s="1"/>
  <c r="DM29" i="2" s="1"/>
  <c r="DN29" i="2" s="1"/>
  <c r="DO29" i="2" s="1"/>
  <c r="DP29" i="2" s="1"/>
  <c r="DQ29" i="2" s="1"/>
  <c r="DR29" i="2" s="1"/>
  <c r="DS29" i="2" s="1"/>
  <c r="DT29" i="2" s="1"/>
  <c r="DU29" i="2" s="1"/>
  <c r="DV29" i="2" s="1"/>
  <c r="DW29" i="2" s="1"/>
  <c r="DX29" i="2" s="1"/>
  <c r="DY29" i="2" s="1"/>
  <c r="DZ29" i="2" s="1"/>
  <c r="EA29" i="2" s="1"/>
  <c r="EB29" i="2" s="1"/>
  <c r="EC29" i="2" s="1"/>
  <c r="ED29" i="2" s="1"/>
  <c r="EE29" i="2" s="1"/>
  <c r="EF29" i="2" s="1"/>
  <c r="EG29" i="2" s="1"/>
  <c r="EH29" i="2" s="1"/>
  <c r="EI29" i="2" s="1"/>
  <c r="EJ29" i="2" s="1"/>
  <c r="EK29" i="2" s="1"/>
  <c r="EL29" i="2" s="1"/>
  <c r="EM29" i="2" s="1"/>
  <c r="EN29" i="2" s="1"/>
  <c r="EO29" i="2" s="1"/>
  <c r="EP29" i="2" s="1"/>
  <c r="EQ29" i="2" s="1"/>
  <c r="ER29" i="2" s="1"/>
  <c r="ES29" i="2" s="1"/>
  <c r="ET29" i="2" s="1"/>
  <c r="EU29" i="2" s="1"/>
  <c r="EV29" i="2" s="1"/>
  <c r="EW29" i="2" s="1"/>
  <c r="EX29" i="2" s="1"/>
  <c r="EY29" i="2" s="1"/>
  <c r="EZ29" i="2" s="1"/>
  <c r="FA29" i="2" s="1"/>
  <c r="FB29" i="2" s="1"/>
  <c r="FC29" i="2" s="1"/>
  <c r="FD29" i="2" s="1"/>
  <c r="FE29" i="2" s="1"/>
  <c r="FF29" i="2" s="1"/>
  <c r="FG29" i="2" s="1"/>
  <c r="FH29" i="2" s="1"/>
  <c r="FI29" i="2" s="1"/>
  <c r="FJ29" i="2" s="1"/>
  <c r="FK29" i="2" s="1"/>
  <c r="FL29" i="2" s="1"/>
  <c r="FM29" i="2" s="1"/>
  <c r="FN29" i="2" s="1"/>
  <c r="FO29" i="2" s="1"/>
  <c r="FP29" i="2" s="1"/>
  <c r="FQ29" i="2" s="1"/>
  <c r="FR29" i="2" s="1"/>
  <c r="FS29" i="2" s="1"/>
  <c r="FT29" i="2" s="1"/>
  <c r="FU29" i="2" s="1"/>
  <c r="FV29" i="2" s="1"/>
  <c r="FW29" i="2" s="1"/>
  <c r="FX29" i="2" s="1"/>
  <c r="FY29" i="2" s="1"/>
  <c r="FZ29" i="2" s="1"/>
  <c r="GA29" i="2" s="1"/>
  <c r="GB29" i="2" s="1"/>
  <c r="GC29" i="2" s="1"/>
  <c r="GD29" i="2" s="1"/>
  <c r="AP37" i="2" s="1"/>
  <c r="AP38" i="2" s="1"/>
  <c r="AP39" i="2" s="1"/>
  <c r="AM30" i="2"/>
  <c r="AM37" i="2"/>
</calcChain>
</file>

<file path=xl/sharedStrings.xml><?xml version="1.0" encoding="utf-8"?>
<sst xmlns="http://schemas.openxmlformats.org/spreadsheetml/2006/main" count="150" uniqueCount="138">
  <si>
    <t>Price</t>
  </si>
  <si>
    <t>Shares</t>
  </si>
  <si>
    <t>MC</t>
  </si>
  <si>
    <t>Cash</t>
  </si>
  <si>
    <t>Debt</t>
  </si>
  <si>
    <t>EV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</si>
  <si>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</si>
  <si>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</si>
  <si>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</si>
  <si>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</si>
  <si>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</si>
  <si>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</si>
  <si>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</si>
  <si>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</si>
  <si>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</si>
  <si>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</si>
  <si>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</si>
  <si>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</si>
  <si>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</si>
  <si>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</si>
  <si>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Live Services</t>
  </si>
  <si>
    <t>Full Game</t>
  </si>
  <si>
    <t>OpInc</t>
  </si>
  <si>
    <t>OpEx</t>
  </si>
  <si>
    <t>COGS</t>
  </si>
  <si>
    <t>Gross profit</t>
  </si>
  <si>
    <t>R&amp;D</t>
  </si>
  <si>
    <t>M&amp;S</t>
  </si>
  <si>
    <t>G&amp;A</t>
  </si>
  <si>
    <t>EPS</t>
  </si>
  <si>
    <t>Net Income</t>
  </si>
  <si>
    <t>Taxes</t>
  </si>
  <si>
    <t>Pretax</t>
  </si>
  <si>
    <t>Interest</t>
  </si>
  <si>
    <t>Model NI</t>
  </si>
  <si>
    <t>FY2020</t>
  </si>
  <si>
    <t>FY2021</t>
  </si>
  <si>
    <t>FY2022</t>
  </si>
  <si>
    <t>FY2023</t>
  </si>
  <si>
    <t>Revenue y/y</t>
  </si>
  <si>
    <t>FY2019</t>
  </si>
  <si>
    <t>FY2018</t>
  </si>
  <si>
    <t>FY2017</t>
  </si>
  <si>
    <t>Battlefield</t>
  </si>
  <si>
    <t>FIFA</t>
  </si>
  <si>
    <t>Madden</t>
  </si>
  <si>
    <t>Formula 1</t>
  </si>
  <si>
    <t>Apex Legends</t>
  </si>
  <si>
    <t>The Sims</t>
  </si>
  <si>
    <t>Grid Legends</t>
  </si>
  <si>
    <t>NHL</t>
  </si>
  <si>
    <t>Lost in Random</t>
  </si>
  <si>
    <t>Mass Effect</t>
  </si>
  <si>
    <t>It Takes Two</t>
  </si>
  <si>
    <t>Medal of Honor</t>
  </si>
  <si>
    <t>Need for Speed Hot Pursuit</t>
  </si>
  <si>
    <t>Star Wars Squadrons</t>
  </si>
  <si>
    <t>UFC 4</t>
  </si>
  <si>
    <t>Rocket Arena</t>
  </si>
  <si>
    <t>Command and Conquer</t>
  </si>
  <si>
    <t>Assets</t>
  </si>
  <si>
    <t>AR</t>
  </si>
  <si>
    <t>OCA</t>
  </si>
  <si>
    <t>PP&amp;E</t>
  </si>
  <si>
    <t>Goodwill</t>
  </si>
  <si>
    <t>DT</t>
  </si>
  <si>
    <t>Other</t>
  </si>
  <si>
    <t>AP</t>
  </si>
  <si>
    <t>DR</t>
  </si>
  <si>
    <t>AL</t>
  </si>
  <si>
    <t>SE</t>
  </si>
  <si>
    <t>L+SE</t>
  </si>
  <si>
    <t>Reported NI</t>
  </si>
  <si>
    <t>CFFO</t>
  </si>
  <si>
    <t>SBC</t>
  </si>
  <si>
    <t>D&amp;A</t>
  </si>
  <si>
    <t>OA</t>
  </si>
  <si>
    <t>CapEx</t>
  </si>
  <si>
    <t>Investments</t>
  </si>
  <si>
    <t>Acquisitions</t>
  </si>
  <si>
    <t>CFFI</t>
  </si>
  <si>
    <t>Buybacks</t>
  </si>
  <si>
    <t>Dividend</t>
  </si>
  <si>
    <t>ESOP</t>
  </si>
  <si>
    <t>CFFF</t>
  </si>
  <si>
    <t>FX</t>
  </si>
  <si>
    <t>CIC</t>
  </si>
  <si>
    <t>Console</t>
  </si>
  <si>
    <t>PC</t>
  </si>
  <si>
    <t>Mobile</t>
  </si>
  <si>
    <t>Download</t>
  </si>
  <si>
    <t>Packaged</t>
  </si>
  <si>
    <t>Moving to EA FC in FY2024</t>
  </si>
  <si>
    <t>Ultimate Team revenue substantial portion</t>
  </si>
  <si>
    <t>Extra content substantial revenue</t>
  </si>
  <si>
    <t>Golf Clash</t>
  </si>
  <si>
    <t>FIFA Mobile, FIFA Online</t>
  </si>
  <si>
    <t>Extra Content</t>
  </si>
  <si>
    <t>Net Bookings</t>
  </si>
  <si>
    <t>Glu Mobile - 2.0B</t>
  </si>
  <si>
    <t>Playdemic - 1.4B</t>
  </si>
  <si>
    <t>The Sims 4</t>
  </si>
  <si>
    <t>Substantial live services revenue</t>
  </si>
  <si>
    <t>North America</t>
  </si>
  <si>
    <t>International</t>
  </si>
  <si>
    <t>FCF</t>
  </si>
  <si>
    <t>FY2016</t>
  </si>
  <si>
    <t>Gross Margin</t>
  </si>
  <si>
    <t>Operating Margin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</si>
  <si>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</si>
  <si>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</si>
  <si>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</si>
  <si>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</si>
  <si>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</si>
  <si>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</si>
  <si>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</si>
  <si>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</si>
  <si>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</si>
  <si>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</si>
  <si>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Terminal</t>
  </si>
  <si>
    <t>Discount</t>
  </si>
  <si>
    <t>NPV</t>
  </si>
  <si>
    <t>Net Cash</t>
  </si>
  <si>
    <t>ROIC</t>
  </si>
  <si>
    <t>Share</t>
  </si>
  <si>
    <t>Upside</t>
  </si>
  <si>
    <t>Q224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</si>
  <si>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</si>
  <si>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</si>
  <si>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</si>
  <si>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</si>
  <si>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</si>
  <si>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</si>
  <si>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</si>
  <si>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</si>
  <si>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Founded: 1982</t>
  </si>
  <si>
    <t xml:space="preserve">  "Sports Yugio", Pay-to-Play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</si>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</sst>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0.0%"/>
    <numFmt numFmtId="166" formatCode="yyyy/mm/dd;@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1"/>
    <xf numFmtId="9" fontId="0" fillId="0" borderId="0" xfId="0" applyNumberFormat="1"/>
    <xf numFmtId="9" fontId="0" fillId="0" borderId="0" xfId="0" applyNumberFormat="1" applyAlignment="1">
      <alignment horizontal="right"/>
    </xf>
    <xf numFmtId="0" fontId="1" fillId="0" borderId="0" xfId="0" applyFont="1"/>
    <xf numFmtId="166" fontId="0" fillId="0" borderId="0" xfId="0" applyNumberFormat="1"/>
    <xf numFmtId="166" fontId="0" fillId="0" borderId="0" xfId="0" applyNumberFormat="1" applyAlignment="1">
      <alignment horizontal="right"/>
    </xf>
    <xf numFmtId="9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EC1A6AE-6A3B-4B6A-859D-868B648E91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44116</xdr:colOff>
      <xdr:row>0</xdr:row>
      <xdr:rowOff>0</xdr:rowOff>
    </xdr:from>
    <xdr:to>
      <xdr:col>19</xdr:col>
      <xdr:colOff>44116</xdr:colOff>
      <xdr:row>84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915DCDC-C89C-FBB1-1474-C49AE33F0F9B}"/>
            </a:ext>
          </a:extLst>
        </xdr:cNvPr>
        <xdr:cNvCxnSpPr/>
      </xdr:nvCxnSpPr>
      <xdr:spPr>
        <a:xfrm>
          <a:off x="11644563" y="0"/>
          <a:ext cx="0" cy="135610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22514</xdr:colOff>
      <xdr:row>0</xdr:row>
      <xdr:rowOff>0</xdr:rowOff>
    </xdr:from>
    <xdr:to>
      <xdr:col>33</xdr:col>
      <xdr:colOff>22514</xdr:colOff>
      <xdr:row>84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B24A3D5-A85A-4FF6-97B4-64F765F1B463}"/>
            </a:ext>
          </a:extLst>
        </xdr:cNvPr>
        <xdr:cNvCxnSpPr/>
      </xdr:nvCxnSpPr>
      <xdr:spPr>
        <a:xfrm>
          <a:off x="20146241" y="0"/>
          <a:ext cx="0" cy="135419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1520D-D2E8-4875-AF37-2643C5BED407}">
  <dimension ref="B2:O31"/>
  <sheetViews>
    <sheetView tabSelected="1" zoomScaleNormal="100" workbookViewId="0">
      <selection activeCell="O9" sqref="O9"/>
    </sheetView>
  </sheetViews>
  <sheetFormatPr defaultRowHeight="12.75" x14ac:dyDescent="0.2"/>
  <cols>
    <col min="2" max="2" width="10.7109375" customWidth="1"/>
  </cols>
  <sheetData>
    <row r="2" spans="2:15" x14ac:dyDescent="0.2">
      <c r="B2" s="16" t="s">
        <v>137</v>
      </c>
      <c r="M2" t="s">
        <v>0</v>
      </c>
      <c r="N2">
        <v>142.77000000000001</v>
      </c>
    </row>
    <row r="3" spans="2:15" x14ac:dyDescent="0.2">
      <c r="M3" t="s">
        <v>1</v>
      </c>
      <c r="N3" s="3">
        <v>264.19993099999999</v>
      </c>
      <c r="O3" s="1" t="s">
        <v>126</v>
      </c>
    </row>
    <row r="4" spans="2:15" x14ac:dyDescent="0.2">
      <c r="B4" t="s">
        <v>47</v>
      </c>
      <c r="M4" t="s">
        <v>2</v>
      </c>
      <c r="N4" s="3">
        <f>+N2*N3</f>
        <v>37719.82414887</v>
      </c>
    </row>
    <row r="5" spans="2:15" x14ac:dyDescent="0.2">
      <c r="C5" t="s">
        <v>94</v>
      </c>
      <c r="M5" t="s">
        <v>3</v>
      </c>
      <c r="N5" s="3">
        <f>2400+366</f>
        <v>2766</v>
      </c>
      <c r="O5" s="1" t="s">
        <v>126</v>
      </c>
    </row>
    <row r="6" spans="2:15" x14ac:dyDescent="0.2">
      <c r="B6" t="s">
        <v>43</v>
      </c>
      <c r="M6" t="s">
        <v>4</v>
      </c>
      <c r="N6" s="3">
        <v>1882</v>
      </c>
      <c r="O6" s="1" t="s">
        <v>126</v>
      </c>
    </row>
    <row r="7" spans="2:15" x14ac:dyDescent="0.2">
      <c r="B7" t="s">
        <v>59</v>
      </c>
      <c r="M7" t="s">
        <v>5</v>
      </c>
      <c r="N7" s="3">
        <f>+N4-N5+N6</f>
        <v>36835.82414887</v>
      </c>
    </row>
    <row r="8" spans="2:15" x14ac:dyDescent="0.2">
      <c r="B8" t="s">
        <v>44</v>
      </c>
    </row>
    <row r="9" spans="2:15" x14ac:dyDescent="0.2">
      <c r="C9" t="s">
        <v>92</v>
      </c>
      <c r="M9" t="s">
        <v>135</v>
      </c>
    </row>
    <row r="10" spans="2:15" x14ac:dyDescent="0.2">
      <c r="C10" s="10" t="s">
        <v>93</v>
      </c>
    </row>
    <row r="11" spans="2:15" x14ac:dyDescent="0.2">
      <c r="C11" s="10" t="s">
        <v>136</v>
      </c>
    </row>
    <row r="12" spans="2:15" x14ac:dyDescent="0.2">
      <c r="C12" t="s">
        <v>96</v>
      </c>
    </row>
    <row r="13" spans="2:15" x14ac:dyDescent="0.2">
      <c r="B13" t="s">
        <v>46</v>
      </c>
    </row>
    <row r="14" spans="2:15" x14ac:dyDescent="0.2">
      <c r="B14" t="s">
        <v>49</v>
      </c>
    </row>
    <row r="15" spans="2:15" x14ac:dyDescent="0.2">
      <c r="B15" t="s">
        <v>53</v>
      </c>
    </row>
    <row r="16" spans="2:15" x14ac:dyDescent="0.2">
      <c r="B16" t="s">
        <v>51</v>
      </c>
    </row>
    <row r="17" spans="2:3" x14ac:dyDescent="0.2">
      <c r="B17" t="s">
        <v>45</v>
      </c>
    </row>
    <row r="18" spans="2:3" x14ac:dyDescent="0.2">
      <c r="B18" t="s">
        <v>52</v>
      </c>
    </row>
    <row r="19" spans="2:3" x14ac:dyDescent="0.2">
      <c r="B19" t="s">
        <v>54</v>
      </c>
    </row>
    <row r="20" spans="2:3" x14ac:dyDescent="0.2">
      <c r="B20" t="s">
        <v>55</v>
      </c>
    </row>
    <row r="21" spans="2:3" x14ac:dyDescent="0.2">
      <c r="B21" t="s">
        <v>50</v>
      </c>
    </row>
    <row r="22" spans="2:3" x14ac:dyDescent="0.2">
      <c r="B22" t="s">
        <v>58</v>
      </c>
    </row>
    <row r="23" spans="2:3" x14ac:dyDescent="0.2">
      <c r="B23" t="s">
        <v>48</v>
      </c>
    </row>
    <row r="24" spans="2:3" x14ac:dyDescent="0.2">
      <c r="C24" t="s">
        <v>101</v>
      </c>
    </row>
    <row r="25" spans="2:3" x14ac:dyDescent="0.2">
      <c r="C25" t="s">
        <v>102</v>
      </c>
    </row>
    <row r="26" spans="2:3" x14ac:dyDescent="0.2">
      <c r="B26" t="s">
        <v>56</v>
      </c>
    </row>
    <row r="27" spans="2:3" x14ac:dyDescent="0.2">
      <c r="B27" t="s">
        <v>57</v>
      </c>
    </row>
    <row r="29" spans="2:3" x14ac:dyDescent="0.2">
      <c r="B29" t="s">
        <v>99</v>
      </c>
    </row>
    <row r="30" spans="2:3" x14ac:dyDescent="0.2">
      <c r="B30" t="s">
        <v>100</v>
      </c>
    </row>
    <row r="31" spans="2:3" x14ac:dyDescent="0.2">
      <c r="C3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A67E-6005-4915-82FF-FB0BB8A3D32C}">
  <dimension ref="A1:GD82"/>
  <sheetViews>
    <sheetView zoomScaleNormal="100" workbookViewId="0">
      <pane xSplit="2" ySplit="3" topLeftCell="AC16" activePane="bottomRight" state="frozen"/>
      <selection pane="topRight" activeCell="C1" sqref="C1"/>
      <selection pane="bottomLeft" activeCell="A3" sqref="A3"/>
      <selection pane="bottomRight" activeCell="AN49" sqref="AN49"/>
    </sheetView>
  </sheetViews>
  <sheetFormatPr defaultRowHeight="12.75" x14ac:dyDescent="0.2"/>
  <cols>
    <col min="1" max="1" width="5" bestFit="1" customWidth="1"/>
    <col min="2" max="2" width="13" customWidth="1"/>
    <col min="3" max="22" width="10.5703125" style="1" bestFit="1" customWidth="1"/>
    <col min="25" max="37" width="10.5703125" bestFit="1" customWidth="1"/>
    <col min="42" max="42" width="11.140625" bestFit="1" customWidth="1"/>
  </cols>
  <sheetData>
    <row r="1" spans="1:42" x14ac:dyDescent="0.2">
      <c r="A1" s="7" t="s">
        <v>6</v>
      </c>
    </row>
    <row r="2" spans="1:42" s="11" customFormat="1" x14ac:dyDescent="0.2">
      <c r="C2" s="12">
        <v>44012</v>
      </c>
      <c r="D2" s="12">
        <v>44104</v>
      </c>
      <c r="E2" s="12">
        <v>44196</v>
      </c>
      <c r="F2" s="12">
        <v>44286</v>
      </c>
      <c r="G2" s="12">
        <v>44377</v>
      </c>
      <c r="H2" s="12">
        <v>44469</v>
      </c>
      <c r="I2" s="12">
        <v>44561</v>
      </c>
      <c r="J2" s="12">
        <v>44651</v>
      </c>
      <c r="K2" s="12">
        <v>44742</v>
      </c>
      <c r="L2" s="12">
        <f t="shared" ref="L2:Q2" si="0">+H2+365</f>
        <v>44834</v>
      </c>
      <c r="M2" s="12">
        <f t="shared" si="0"/>
        <v>44926</v>
      </c>
      <c r="N2" s="12">
        <f t="shared" si="0"/>
        <v>45016</v>
      </c>
      <c r="O2" s="12">
        <f t="shared" si="0"/>
        <v>45107</v>
      </c>
      <c r="P2" s="12">
        <f t="shared" si="0"/>
        <v>45199</v>
      </c>
      <c r="Q2" s="12">
        <f t="shared" si="0"/>
        <v>45291</v>
      </c>
      <c r="R2" s="12">
        <f>+N2+366</f>
        <v>45382</v>
      </c>
      <c r="S2" s="12">
        <f>+O2+366</f>
        <v>45473</v>
      </c>
      <c r="T2" s="12">
        <f t="shared" ref="T2:V2" si="1">+P2+365</f>
        <v>45564</v>
      </c>
      <c r="U2" s="12">
        <f t="shared" si="1"/>
        <v>45656</v>
      </c>
      <c r="V2" s="12">
        <f t="shared" si="1"/>
        <v>45747</v>
      </c>
      <c r="Y2" s="11">
        <v>42460</v>
      </c>
      <c r="Z2" s="11">
        <v>42825</v>
      </c>
      <c r="AA2" s="11">
        <v>43190</v>
      </c>
      <c r="AB2" s="11">
        <v>43555</v>
      </c>
      <c r="AC2" s="11">
        <v>43921</v>
      </c>
      <c r="AD2" s="11">
        <v>44286</v>
      </c>
      <c r="AE2" s="11">
        <v>44651</v>
      </c>
      <c r="AF2" s="11">
        <v>45016</v>
      </c>
      <c r="AG2" s="11">
        <f>+AF2+366</f>
        <v>45382</v>
      </c>
      <c r="AH2" s="11">
        <f>+AG2+365</f>
        <v>45747</v>
      </c>
      <c r="AI2" s="11">
        <f>+AH2+365</f>
        <v>46112</v>
      </c>
      <c r="AJ2" s="11">
        <f>+AI2+365</f>
        <v>46477</v>
      </c>
      <c r="AK2" s="11">
        <f>+AJ2+365</f>
        <v>46842</v>
      </c>
    </row>
    <row r="3" spans="1:42" x14ac:dyDescent="0.2"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127</v>
      </c>
      <c r="P3" s="1" t="s">
        <v>128</v>
      </c>
      <c r="Q3" s="1" t="s">
        <v>129</v>
      </c>
      <c r="R3" s="1" t="s">
        <v>130</v>
      </c>
      <c r="S3" s="1" t="s">
        <v>131</v>
      </c>
      <c r="T3" s="1" t="s">
        <v>132</v>
      </c>
      <c r="U3" s="1" t="s">
        <v>133</v>
      </c>
      <c r="V3" s="1" t="s">
        <v>134</v>
      </c>
      <c r="Y3" s="1" t="s">
        <v>106</v>
      </c>
      <c r="Z3" s="1" t="s">
        <v>42</v>
      </c>
      <c r="AA3" s="1" t="s">
        <v>41</v>
      </c>
      <c r="AB3" s="1" t="s">
        <v>40</v>
      </c>
      <c r="AC3" s="1" t="s">
        <v>35</v>
      </c>
      <c r="AD3" s="1" t="s">
        <v>36</v>
      </c>
      <c r="AE3" s="1" t="s">
        <v>37</v>
      </c>
      <c r="AF3" s="1" t="s">
        <v>38</v>
      </c>
      <c r="AG3" s="1" t="s">
        <v>109</v>
      </c>
      <c r="AH3" s="1" t="s">
        <v>110</v>
      </c>
      <c r="AI3" s="1" t="s">
        <v>111</v>
      </c>
      <c r="AJ3" s="1" t="s">
        <v>112</v>
      </c>
      <c r="AK3" s="1" t="s">
        <v>113</v>
      </c>
      <c r="AL3" s="1" t="s">
        <v>114</v>
      </c>
      <c r="AM3" s="1" t="s">
        <v>115</v>
      </c>
      <c r="AN3" s="1" t="s">
        <v>116</v>
      </c>
      <c r="AO3" s="1" t="s">
        <v>117</v>
      </c>
      <c r="AP3" s="1" t="s">
        <v>118</v>
      </c>
    </row>
    <row r="4" spans="1:42" s="3" customFormat="1" x14ac:dyDescent="0.2">
      <c r="B4" s="3" t="s">
        <v>98</v>
      </c>
      <c r="C4" s="4"/>
      <c r="D4" s="4">
        <v>910</v>
      </c>
      <c r="E4" s="4"/>
      <c r="F4" s="4"/>
      <c r="G4" s="4">
        <v>1336</v>
      </c>
      <c r="H4" s="4">
        <v>1851</v>
      </c>
      <c r="I4" s="4"/>
      <c r="J4" s="4"/>
      <c r="K4" s="4">
        <v>1299</v>
      </c>
      <c r="L4" s="4"/>
      <c r="M4" s="4"/>
      <c r="N4" s="4"/>
      <c r="O4" s="4"/>
      <c r="P4" s="4"/>
      <c r="Q4" s="4"/>
      <c r="R4" s="4"/>
      <c r="S4" s="4">
        <v>1262</v>
      </c>
      <c r="T4" s="4"/>
      <c r="U4" s="4"/>
      <c r="V4" s="4"/>
      <c r="Z4" s="4"/>
      <c r="AA4" s="4"/>
      <c r="AB4" s="4"/>
      <c r="AC4" s="4"/>
      <c r="AD4" s="4"/>
      <c r="AE4" s="4"/>
      <c r="AF4" s="4"/>
    </row>
    <row r="5" spans="1:42" x14ac:dyDescent="0.2">
      <c r="Z5" s="1"/>
      <c r="AA5" s="1"/>
      <c r="AB5" s="1"/>
      <c r="AC5" s="1"/>
      <c r="AD5" s="1"/>
      <c r="AE5" s="1"/>
      <c r="AF5" s="1"/>
    </row>
    <row r="6" spans="1:42" s="3" customFormat="1" x14ac:dyDescent="0.2">
      <c r="B6" s="3" t="s">
        <v>87</v>
      </c>
      <c r="C6" s="4"/>
      <c r="D6" s="4">
        <v>714</v>
      </c>
      <c r="E6" s="4"/>
      <c r="F6" s="4"/>
      <c r="G6" s="4">
        <v>972</v>
      </c>
      <c r="H6" s="4">
        <v>1198</v>
      </c>
      <c r="I6" s="4"/>
      <c r="J6" s="4"/>
      <c r="K6" s="4">
        <v>1042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Z6" s="4"/>
      <c r="AA6" s="4"/>
      <c r="AB6" s="4"/>
      <c r="AC6" s="4">
        <v>3774</v>
      </c>
      <c r="AD6" s="4">
        <v>3716</v>
      </c>
      <c r="AE6" s="4">
        <v>4400</v>
      </c>
      <c r="AF6" s="4"/>
    </row>
    <row r="7" spans="1:42" s="3" customFormat="1" x14ac:dyDescent="0.2">
      <c r="B7" s="3" t="s">
        <v>88</v>
      </c>
      <c r="C7" s="4"/>
      <c r="D7" s="4">
        <v>249</v>
      </c>
      <c r="E7" s="4"/>
      <c r="F7" s="4"/>
      <c r="G7" s="4">
        <v>361</v>
      </c>
      <c r="H7" s="4">
        <v>377</v>
      </c>
      <c r="I7" s="4"/>
      <c r="J7" s="4"/>
      <c r="K7" s="4">
        <v>402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Z7" s="4"/>
      <c r="AA7" s="4"/>
      <c r="AB7" s="4"/>
      <c r="AC7" s="4">
        <v>1036</v>
      </c>
      <c r="AD7" s="4">
        <v>1195</v>
      </c>
      <c r="AE7" s="4">
        <v>1532</v>
      </c>
      <c r="AF7" s="4"/>
    </row>
    <row r="8" spans="1:42" s="3" customFormat="1" x14ac:dyDescent="0.2">
      <c r="B8" s="3" t="s">
        <v>89</v>
      </c>
      <c r="C8" s="4"/>
      <c r="D8" s="4">
        <v>188</v>
      </c>
      <c r="E8" s="4"/>
      <c r="F8" s="4"/>
      <c r="G8" s="4">
        <v>218</v>
      </c>
      <c r="H8" s="4">
        <v>251</v>
      </c>
      <c r="I8" s="4"/>
      <c r="J8" s="4"/>
      <c r="K8" s="4">
        <v>323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Z8" s="4"/>
      <c r="AA8" s="4"/>
      <c r="AB8" s="4"/>
      <c r="AC8" s="4">
        <v>727</v>
      </c>
      <c r="AD8" s="4">
        <v>718</v>
      </c>
      <c r="AE8" s="4">
        <v>1059</v>
      </c>
      <c r="AF8" s="4"/>
    </row>
    <row r="9" spans="1:42" s="3" customFormat="1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Z9" s="4"/>
      <c r="AA9" s="4"/>
      <c r="AB9" s="4"/>
      <c r="AC9" s="4"/>
      <c r="AD9" s="4"/>
      <c r="AE9" s="4"/>
      <c r="AF9" s="4"/>
    </row>
    <row r="10" spans="1:42" s="3" customFormat="1" x14ac:dyDescent="0.2">
      <c r="B10" s="3" t="s">
        <v>97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Z10" s="4"/>
      <c r="AA10" s="4"/>
      <c r="AB10" s="4"/>
      <c r="AC10" s="4">
        <v>2826</v>
      </c>
      <c r="AD10" s="4">
        <v>3068</v>
      </c>
      <c r="AE10" s="4">
        <v>3910</v>
      </c>
      <c r="AF10" s="4"/>
    </row>
    <row r="11" spans="1:42" s="3" customFormat="1" x14ac:dyDescent="0.2">
      <c r="B11" s="3" t="s">
        <v>103</v>
      </c>
      <c r="C11" s="4"/>
      <c r="D11" s="4">
        <v>578</v>
      </c>
      <c r="E11" s="4"/>
      <c r="F11" s="4"/>
      <c r="G11" s="4"/>
      <c r="H11" s="4">
        <v>778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Z11" s="4"/>
      <c r="AA11" s="4"/>
      <c r="AB11" s="4"/>
      <c r="AC11" s="4">
        <v>2270</v>
      </c>
      <c r="AD11" s="4">
        <v>2474</v>
      </c>
      <c r="AE11" s="4">
        <v>3039</v>
      </c>
      <c r="AF11" s="4"/>
    </row>
    <row r="12" spans="1:42" s="3" customFormat="1" x14ac:dyDescent="0.2">
      <c r="B12" s="3" t="s">
        <v>104</v>
      </c>
      <c r="C12" s="4"/>
      <c r="D12" s="4">
        <v>573</v>
      </c>
      <c r="E12" s="4"/>
      <c r="F12" s="4"/>
      <c r="G12" s="4"/>
      <c r="H12" s="4">
        <v>1048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Z12" s="4"/>
      <c r="AA12" s="4"/>
      <c r="AB12" s="4"/>
      <c r="AC12" s="4">
        <v>3267</v>
      </c>
      <c r="AD12" s="4">
        <v>3155</v>
      </c>
      <c r="AE12" s="4">
        <v>3952</v>
      </c>
      <c r="AF12" s="4"/>
    </row>
    <row r="13" spans="1:42" x14ac:dyDescent="0.2">
      <c r="Z13" s="1"/>
      <c r="AA13" s="1"/>
      <c r="AB13" s="1"/>
      <c r="AC13" s="1"/>
      <c r="AD13" s="1"/>
      <c r="AE13" s="1"/>
      <c r="AF13" s="1"/>
    </row>
    <row r="14" spans="1:42" x14ac:dyDescent="0.2">
      <c r="B14" s="3" t="s">
        <v>90</v>
      </c>
      <c r="D14" s="1">
        <v>163</v>
      </c>
      <c r="G14" s="1">
        <v>233</v>
      </c>
      <c r="H14" s="1">
        <v>337</v>
      </c>
      <c r="K14" s="1">
        <v>237</v>
      </c>
      <c r="Z14" s="1"/>
      <c r="AA14" s="1"/>
      <c r="AB14" s="1"/>
      <c r="AC14" s="3">
        <v>811</v>
      </c>
      <c r="AD14" s="3">
        <v>918</v>
      </c>
      <c r="AE14" s="3">
        <v>1282</v>
      </c>
      <c r="AF14" s="4">
        <v>1262</v>
      </c>
      <c r="AG14" s="3">
        <v>1343</v>
      </c>
    </row>
    <row r="15" spans="1:42" s="3" customFormat="1" x14ac:dyDescent="0.2">
      <c r="B15" s="3" t="s">
        <v>91</v>
      </c>
      <c r="C15" s="4"/>
      <c r="D15" s="4">
        <v>119</v>
      </c>
      <c r="E15" s="4"/>
      <c r="F15" s="4"/>
      <c r="G15" s="4">
        <v>89</v>
      </c>
      <c r="H15" s="4">
        <v>280</v>
      </c>
      <c r="I15" s="4"/>
      <c r="J15" s="4"/>
      <c r="K15" s="4">
        <v>104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Z15" s="4"/>
      <c r="AA15" s="4"/>
      <c r="AB15" s="4"/>
      <c r="AC15" s="4">
        <v>1076</v>
      </c>
      <c r="AD15" s="4">
        <v>695</v>
      </c>
      <c r="AE15" s="4">
        <v>711</v>
      </c>
      <c r="AF15" s="4">
        <v>675</v>
      </c>
      <c r="AG15" s="3">
        <v>672</v>
      </c>
    </row>
    <row r="16" spans="1:42" s="3" customFormat="1" x14ac:dyDescent="0.2">
      <c r="B16" s="3" t="s">
        <v>21</v>
      </c>
      <c r="C16" s="4"/>
      <c r="D16" s="4">
        <f>+D15+D14</f>
        <v>282</v>
      </c>
      <c r="E16" s="4"/>
      <c r="F16" s="4"/>
      <c r="G16" s="4">
        <f>+G15+G14</f>
        <v>322</v>
      </c>
      <c r="H16" s="4">
        <f>+H15+H14</f>
        <v>617</v>
      </c>
      <c r="I16" s="4"/>
      <c r="J16" s="4"/>
      <c r="K16" s="4">
        <f>+K15+K14</f>
        <v>341</v>
      </c>
      <c r="L16" s="4"/>
      <c r="M16" s="4"/>
      <c r="N16" s="4">
        <v>372</v>
      </c>
      <c r="O16" s="4">
        <v>443</v>
      </c>
      <c r="P16" s="4">
        <v>621</v>
      </c>
      <c r="Q16" s="4">
        <v>618</v>
      </c>
      <c r="R16" s="4">
        <v>333</v>
      </c>
      <c r="S16" s="4">
        <v>250</v>
      </c>
      <c r="T16" s="4"/>
      <c r="U16" s="4"/>
      <c r="V16" s="4"/>
      <c r="AC16" s="3">
        <f>+AC15+AC14</f>
        <v>1887</v>
      </c>
      <c r="AD16" s="3">
        <f t="shared" ref="AD16:AG16" si="2">+AD15+AD14</f>
        <v>1613</v>
      </c>
      <c r="AE16" s="3">
        <f t="shared" si="2"/>
        <v>1993</v>
      </c>
      <c r="AF16" s="3">
        <f t="shared" si="2"/>
        <v>1937</v>
      </c>
      <c r="AG16" s="3">
        <f t="shared" si="2"/>
        <v>2015</v>
      </c>
    </row>
    <row r="17" spans="2:186" s="3" customFormat="1" x14ac:dyDescent="0.2">
      <c r="B17" s="3" t="s">
        <v>20</v>
      </c>
      <c r="C17" s="4"/>
      <c r="D17" s="4">
        <v>869</v>
      </c>
      <c r="E17" s="4"/>
      <c r="F17" s="4">
        <v>1096</v>
      </c>
      <c r="G17" s="4">
        <v>1229</v>
      </c>
      <c r="H17" s="4">
        <v>1209</v>
      </c>
      <c r="I17" s="4">
        <v>1173</v>
      </c>
      <c r="J17" s="4">
        <v>1387</v>
      </c>
      <c r="K17" s="4">
        <v>1426</v>
      </c>
      <c r="L17" s="4"/>
      <c r="M17" s="4"/>
      <c r="N17" s="4">
        <v>1502</v>
      </c>
      <c r="O17" s="4">
        <v>1481</v>
      </c>
      <c r="P17" s="4">
        <v>1293</v>
      </c>
      <c r="Q17" s="4">
        <v>1327</v>
      </c>
      <c r="R17" s="4">
        <v>1446</v>
      </c>
      <c r="S17" s="4">
        <v>1410</v>
      </c>
      <c r="T17" s="4"/>
      <c r="U17" s="4"/>
      <c r="V17" s="4"/>
      <c r="AC17" s="3">
        <v>3650</v>
      </c>
      <c r="AD17" s="3">
        <v>4016</v>
      </c>
      <c r="AE17" s="3">
        <v>4998</v>
      </c>
      <c r="AF17" s="3">
        <v>5489</v>
      </c>
      <c r="AG17" s="3">
        <v>5547</v>
      </c>
    </row>
    <row r="18" spans="2:186" s="5" customFormat="1" x14ac:dyDescent="0.2">
      <c r="B18" s="5" t="s">
        <v>7</v>
      </c>
      <c r="C18" s="6">
        <v>1459</v>
      </c>
      <c r="D18" s="6">
        <f>+D16+D17</f>
        <v>1151</v>
      </c>
      <c r="E18" s="6">
        <v>1673</v>
      </c>
      <c r="F18" s="6">
        <v>1346</v>
      </c>
      <c r="G18" s="6">
        <f>+G16+G17</f>
        <v>1551</v>
      </c>
      <c r="H18" s="6">
        <f>+H16+H17</f>
        <v>1826</v>
      </c>
      <c r="I18" s="6">
        <v>1789</v>
      </c>
      <c r="J18" s="6">
        <v>1825</v>
      </c>
      <c r="K18" s="6">
        <f>+K16+K17</f>
        <v>1767</v>
      </c>
      <c r="L18" s="6">
        <v>1850</v>
      </c>
      <c r="M18" s="6">
        <f>+I18*1.1</f>
        <v>1967.9</v>
      </c>
      <c r="N18" s="6">
        <v>1874</v>
      </c>
      <c r="O18" s="6">
        <f>+O17+O16</f>
        <v>1924</v>
      </c>
      <c r="P18" s="6">
        <v>1914</v>
      </c>
      <c r="Q18" s="6">
        <v>1945</v>
      </c>
      <c r="R18" s="6">
        <f>+R16+R17</f>
        <v>1779</v>
      </c>
      <c r="S18" s="6">
        <f>+S17+S16</f>
        <v>1660</v>
      </c>
      <c r="T18" s="6">
        <f>+P18</f>
        <v>1914</v>
      </c>
      <c r="U18" s="6"/>
      <c r="V18" s="6"/>
      <c r="Y18" s="6">
        <v>4396</v>
      </c>
      <c r="Z18" s="6">
        <v>4845</v>
      </c>
      <c r="AA18" s="6">
        <v>5150</v>
      </c>
      <c r="AB18" s="6">
        <v>4950</v>
      </c>
      <c r="AC18" s="6">
        <f>+AC17+AC16</f>
        <v>5537</v>
      </c>
      <c r="AD18" s="6">
        <f>+AD17+AD16</f>
        <v>5629</v>
      </c>
      <c r="AE18" s="6">
        <f>+AE17+AE16</f>
        <v>6991</v>
      </c>
      <c r="AF18" s="5">
        <v>7426</v>
      </c>
      <c r="AG18" s="5">
        <v>7562</v>
      </c>
      <c r="AH18" s="5">
        <f t="shared" ref="AH18:AM18" si="3">+AG18*1.03</f>
        <v>7788.8600000000006</v>
      </c>
      <c r="AI18" s="5">
        <f t="shared" si="3"/>
        <v>8022.5258000000013</v>
      </c>
      <c r="AJ18" s="5">
        <f t="shared" si="3"/>
        <v>8263.2015740000006</v>
      </c>
      <c r="AK18" s="5">
        <f t="shared" si="3"/>
        <v>8511.0976212200003</v>
      </c>
      <c r="AL18" s="5">
        <f t="shared" si="3"/>
        <v>8766.4305498566009</v>
      </c>
      <c r="AM18" s="5">
        <f t="shared" si="3"/>
        <v>9029.4234663522984</v>
      </c>
    </row>
    <row r="19" spans="2:186" s="3" customFormat="1" x14ac:dyDescent="0.2">
      <c r="B19" s="3" t="s">
        <v>24</v>
      </c>
      <c r="C19" s="4">
        <v>288</v>
      </c>
      <c r="D19" s="4">
        <v>286</v>
      </c>
      <c r="E19" s="4">
        <v>601</v>
      </c>
      <c r="F19" s="4">
        <v>319</v>
      </c>
      <c r="G19" s="4">
        <v>315</v>
      </c>
      <c r="H19" s="4">
        <v>494</v>
      </c>
      <c r="I19" s="4">
        <v>631</v>
      </c>
      <c r="J19" s="4">
        <v>419</v>
      </c>
      <c r="K19" s="4">
        <v>314</v>
      </c>
      <c r="L19" s="4">
        <f>+L18-L20</f>
        <v>499.5</v>
      </c>
      <c r="M19" s="4">
        <f>+M18-M20</f>
        <v>531.33300000000008</v>
      </c>
      <c r="N19" s="4">
        <v>448</v>
      </c>
      <c r="O19" s="4">
        <v>368</v>
      </c>
      <c r="P19" s="4"/>
      <c r="Q19" s="4"/>
      <c r="R19" s="4">
        <v>357</v>
      </c>
      <c r="S19" s="4">
        <v>263</v>
      </c>
      <c r="T19" s="4"/>
      <c r="U19" s="4"/>
      <c r="V19" s="4"/>
      <c r="Y19" s="4">
        <v>1354</v>
      </c>
      <c r="Z19" s="4">
        <v>1298</v>
      </c>
      <c r="AA19" s="4">
        <v>1277</v>
      </c>
      <c r="AB19" s="4">
        <v>1322</v>
      </c>
      <c r="AC19" s="4">
        <v>1369</v>
      </c>
      <c r="AD19" s="4">
        <v>1494</v>
      </c>
      <c r="AE19" s="4">
        <v>1859</v>
      </c>
      <c r="AF19" s="3">
        <v>1792</v>
      </c>
      <c r="AG19" s="3">
        <v>1710</v>
      </c>
    </row>
    <row r="20" spans="2:186" s="3" customFormat="1" x14ac:dyDescent="0.2">
      <c r="B20" s="3" t="s">
        <v>25</v>
      </c>
      <c r="C20" s="4">
        <f t="shared" ref="C20:K20" si="4">+C18-C19</f>
        <v>1171</v>
      </c>
      <c r="D20" s="4">
        <f t="shared" si="4"/>
        <v>865</v>
      </c>
      <c r="E20" s="4">
        <f t="shared" si="4"/>
        <v>1072</v>
      </c>
      <c r="F20" s="4">
        <f t="shared" si="4"/>
        <v>1027</v>
      </c>
      <c r="G20" s="4">
        <f t="shared" si="4"/>
        <v>1236</v>
      </c>
      <c r="H20" s="4">
        <f t="shared" si="4"/>
        <v>1332</v>
      </c>
      <c r="I20" s="4">
        <f t="shared" si="4"/>
        <v>1158</v>
      </c>
      <c r="J20" s="4">
        <f t="shared" si="4"/>
        <v>1406</v>
      </c>
      <c r="K20" s="4">
        <f t="shared" si="4"/>
        <v>1453</v>
      </c>
      <c r="L20" s="4">
        <f>+L18*0.73</f>
        <v>1350.5</v>
      </c>
      <c r="M20" s="4">
        <f t="shared" ref="M20" si="5">+M18*0.73</f>
        <v>1436.567</v>
      </c>
      <c r="N20" s="4">
        <f>+N18-N19</f>
        <v>1426</v>
      </c>
      <c r="O20" s="4">
        <f>+O18-O19</f>
        <v>1556</v>
      </c>
      <c r="P20" s="4"/>
      <c r="Q20" s="4"/>
      <c r="R20" s="4">
        <f>+R18-R19</f>
        <v>1422</v>
      </c>
      <c r="S20" s="4">
        <f>+S18-S19</f>
        <v>1397</v>
      </c>
      <c r="T20" s="4"/>
      <c r="U20" s="4"/>
      <c r="V20" s="4"/>
      <c r="Y20" s="4">
        <f t="shared" ref="Y20" si="6">+Y18-Y19</f>
        <v>3042</v>
      </c>
      <c r="Z20" s="4">
        <f t="shared" ref="Z20" si="7">+Z18-Z19</f>
        <v>3547</v>
      </c>
      <c r="AA20" s="4">
        <f t="shared" ref="AA20:AG20" si="8">+AA18-AA19</f>
        <v>3873</v>
      </c>
      <c r="AB20" s="4">
        <f t="shared" si="8"/>
        <v>3628</v>
      </c>
      <c r="AC20" s="4">
        <f t="shared" si="8"/>
        <v>4168</v>
      </c>
      <c r="AD20" s="4">
        <f t="shared" si="8"/>
        <v>4135</v>
      </c>
      <c r="AE20" s="4">
        <f t="shared" si="8"/>
        <v>5132</v>
      </c>
      <c r="AF20" s="4">
        <f t="shared" si="8"/>
        <v>5634</v>
      </c>
      <c r="AG20" s="3">
        <f t="shared" si="8"/>
        <v>5852</v>
      </c>
      <c r="AH20" s="3">
        <f>+AH18*0.74</f>
        <v>5763.7564000000002</v>
      </c>
      <c r="AI20" s="3">
        <f>+AI18*0.745</f>
        <v>5976.7817210000012</v>
      </c>
      <c r="AJ20" s="3">
        <f>+AJ18*0.75</f>
        <v>6197.4011805000009</v>
      </c>
      <c r="AK20" s="3">
        <f t="shared" ref="AK20:AM20" si="9">+AK18*0.75</f>
        <v>6383.3232159150002</v>
      </c>
      <c r="AL20" s="3">
        <f t="shared" si="9"/>
        <v>6574.8229123924502</v>
      </c>
      <c r="AM20" s="3">
        <f t="shared" si="9"/>
        <v>6772.0675997642238</v>
      </c>
    </row>
    <row r="21" spans="2:186" s="3" customFormat="1" x14ac:dyDescent="0.2">
      <c r="B21" s="3" t="s">
        <v>26</v>
      </c>
      <c r="C21" s="4">
        <v>438</v>
      </c>
      <c r="D21" s="4">
        <v>421</v>
      </c>
      <c r="E21" s="4">
        <v>451</v>
      </c>
      <c r="F21" s="4">
        <v>468</v>
      </c>
      <c r="G21" s="4">
        <v>515</v>
      </c>
      <c r="H21" s="4">
        <v>553</v>
      </c>
      <c r="I21" s="4">
        <v>539</v>
      </c>
      <c r="J21" s="4">
        <v>579</v>
      </c>
      <c r="K21" s="4">
        <v>572</v>
      </c>
      <c r="L21" s="4">
        <f>+H21*1.01</f>
        <v>558.53</v>
      </c>
      <c r="M21" s="4">
        <f t="shared" ref="M21:M23" si="10">+I21*1.01</f>
        <v>544.39</v>
      </c>
      <c r="N21" s="4">
        <v>635</v>
      </c>
      <c r="O21" s="4">
        <v>596</v>
      </c>
      <c r="P21" s="4"/>
      <c r="Q21" s="4"/>
      <c r="R21" s="4">
        <v>638</v>
      </c>
      <c r="S21" s="4">
        <v>629</v>
      </c>
      <c r="T21" s="4"/>
      <c r="U21" s="4"/>
      <c r="V21" s="4"/>
      <c r="Y21" s="4">
        <v>1109</v>
      </c>
      <c r="Z21" s="4">
        <v>1205</v>
      </c>
      <c r="AA21" s="4">
        <v>1320</v>
      </c>
      <c r="AB21" s="4">
        <v>1433</v>
      </c>
      <c r="AC21" s="4">
        <v>1559</v>
      </c>
      <c r="AD21" s="4">
        <v>1778</v>
      </c>
      <c r="AE21" s="4">
        <v>2186</v>
      </c>
      <c r="AF21" s="3">
        <v>2328</v>
      </c>
      <c r="AG21" s="3">
        <v>2420</v>
      </c>
      <c r="AH21" s="3">
        <f t="shared" ref="AH21:AM21" si="11">+AG21*1.01</f>
        <v>2444.1999999999998</v>
      </c>
      <c r="AI21" s="3">
        <f t="shared" si="11"/>
        <v>2468.6419999999998</v>
      </c>
      <c r="AJ21" s="3">
        <f t="shared" si="11"/>
        <v>2493.3284199999998</v>
      </c>
      <c r="AK21" s="3">
        <f t="shared" si="11"/>
        <v>2518.2617041999997</v>
      </c>
      <c r="AL21" s="3">
        <f t="shared" si="11"/>
        <v>2543.4443212419997</v>
      </c>
      <c r="AM21" s="3">
        <f t="shared" si="11"/>
        <v>2568.8787644544195</v>
      </c>
    </row>
    <row r="22" spans="2:186" s="3" customFormat="1" x14ac:dyDescent="0.2">
      <c r="B22" s="3" t="s">
        <v>27</v>
      </c>
      <c r="C22" s="4">
        <v>121</v>
      </c>
      <c r="D22" s="4">
        <v>156</v>
      </c>
      <c r="E22" s="4">
        <v>216</v>
      </c>
      <c r="F22" s="4">
        <v>196</v>
      </c>
      <c r="G22" s="4">
        <v>190</v>
      </c>
      <c r="H22" s="4">
        <v>233</v>
      </c>
      <c r="I22" s="4">
        <v>293</v>
      </c>
      <c r="J22" s="4">
        <v>245</v>
      </c>
      <c r="K22" s="4">
        <v>234</v>
      </c>
      <c r="L22" s="4">
        <f t="shared" ref="L22:L23" si="12">+H22*1.01</f>
        <v>235.33</v>
      </c>
      <c r="M22" s="4">
        <f t="shared" si="10"/>
        <v>295.93</v>
      </c>
      <c r="N22" s="4">
        <v>255</v>
      </c>
      <c r="O22" s="4">
        <v>229</v>
      </c>
      <c r="P22" s="4"/>
      <c r="Q22" s="4"/>
      <c r="R22" s="4">
        <v>234</v>
      </c>
      <c r="S22" s="4">
        <v>205</v>
      </c>
      <c r="T22" s="4"/>
      <c r="U22" s="4"/>
      <c r="V22" s="4"/>
      <c r="Y22" s="4">
        <v>622</v>
      </c>
      <c r="Z22" s="4">
        <v>673</v>
      </c>
      <c r="AA22" s="4">
        <v>641</v>
      </c>
      <c r="AB22" s="4">
        <v>702</v>
      </c>
      <c r="AC22" s="4">
        <v>631</v>
      </c>
      <c r="AD22" s="4">
        <v>689</v>
      </c>
      <c r="AE22" s="4">
        <v>961</v>
      </c>
      <c r="AF22" s="3">
        <v>978</v>
      </c>
      <c r="AG22" s="3">
        <v>1019</v>
      </c>
      <c r="AH22" s="3">
        <f t="shared" ref="AH22:AM22" si="13">+AG22*1.01</f>
        <v>1029.19</v>
      </c>
      <c r="AI22" s="3">
        <f t="shared" si="13"/>
        <v>1039.4819</v>
      </c>
      <c r="AJ22" s="3">
        <f t="shared" si="13"/>
        <v>1049.8767190000001</v>
      </c>
      <c r="AK22" s="3">
        <f t="shared" si="13"/>
        <v>1060.3754861900002</v>
      </c>
      <c r="AL22" s="3">
        <f t="shared" si="13"/>
        <v>1070.9792410519001</v>
      </c>
      <c r="AM22" s="3">
        <f t="shared" si="13"/>
        <v>1081.689033462419</v>
      </c>
    </row>
    <row r="23" spans="2:186" s="3" customFormat="1" x14ac:dyDescent="0.2">
      <c r="B23" s="3" t="s">
        <v>28</v>
      </c>
      <c r="C23" s="4">
        <v>136</v>
      </c>
      <c r="D23" s="4">
        <v>133</v>
      </c>
      <c r="E23" s="4">
        <v>149</v>
      </c>
      <c r="F23" s="4">
        <v>174</v>
      </c>
      <c r="G23" s="4">
        <v>169</v>
      </c>
      <c r="H23" s="4">
        <v>176</v>
      </c>
      <c r="I23" s="4">
        <v>163</v>
      </c>
      <c r="J23" s="4">
        <v>165</v>
      </c>
      <c r="K23" s="4">
        <v>167</v>
      </c>
      <c r="L23" s="4">
        <f t="shared" si="12"/>
        <v>177.76</v>
      </c>
      <c r="M23" s="4">
        <f t="shared" si="10"/>
        <v>164.63</v>
      </c>
      <c r="N23" s="4">
        <v>224</v>
      </c>
      <c r="O23" s="4">
        <v>163</v>
      </c>
      <c r="P23" s="4"/>
      <c r="Q23" s="4"/>
      <c r="R23" s="4">
        <v>185</v>
      </c>
      <c r="S23" s="4">
        <v>180</v>
      </c>
      <c r="T23" s="4"/>
      <c r="U23" s="4"/>
      <c r="V23" s="4"/>
      <c r="Y23" s="4">
        <v>406</v>
      </c>
      <c r="Z23" s="4">
        <v>439</v>
      </c>
      <c r="AA23" s="4">
        <v>469</v>
      </c>
      <c r="AB23" s="4">
        <v>460</v>
      </c>
      <c r="AC23" s="4">
        <v>506</v>
      </c>
      <c r="AD23" s="4">
        <v>592</v>
      </c>
      <c r="AE23" s="4">
        <v>673</v>
      </c>
      <c r="AF23" s="3">
        <v>727</v>
      </c>
      <c r="AG23" s="3">
        <v>691</v>
      </c>
      <c r="AH23" s="3">
        <f t="shared" ref="AH23:AM23" si="14">+AG23*1.01</f>
        <v>697.91</v>
      </c>
      <c r="AI23" s="3">
        <f t="shared" si="14"/>
        <v>704.88909999999998</v>
      </c>
      <c r="AJ23" s="3">
        <f t="shared" si="14"/>
        <v>711.93799100000001</v>
      </c>
      <c r="AK23" s="3">
        <f t="shared" si="14"/>
        <v>719.05737091000003</v>
      </c>
      <c r="AL23" s="3">
        <f t="shared" si="14"/>
        <v>726.24794461910005</v>
      </c>
      <c r="AM23" s="3">
        <f t="shared" si="14"/>
        <v>733.51042406529109</v>
      </c>
    </row>
    <row r="24" spans="2:186" s="3" customFormat="1" x14ac:dyDescent="0.2">
      <c r="B24" s="3" t="s">
        <v>23</v>
      </c>
      <c r="C24" s="4">
        <f t="shared" ref="C24:K24" si="15">SUM(C21:C23)</f>
        <v>695</v>
      </c>
      <c r="D24" s="4">
        <f t="shared" si="15"/>
        <v>710</v>
      </c>
      <c r="E24" s="4">
        <f t="shared" si="15"/>
        <v>816</v>
      </c>
      <c r="F24" s="4">
        <f t="shared" si="15"/>
        <v>838</v>
      </c>
      <c r="G24" s="4">
        <f t="shared" si="15"/>
        <v>874</v>
      </c>
      <c r="H24" s="4">
        <f t="shared" si="15"/>
        <v>962</v>
      </c>
      <c r="I24" s="4">
        <f t="shared" si="15"/>
        <v>995</v>
      </c>
      <c r="J24" s="4">
        <f t="shared" si="15"/>
        <v>989</v>
      </c>
      <c r="K24" s="4">
        <f t="shared" si="15"/>
        <v>973</v>
      </c>
      <c r="L24" s="4">
        <f t="shared" ref="L24:N24" si="16">SUM(L21:L23)</f>
        <v>971.62</v>
      </c>
      <c r="M24" s="4">
        <f t="shared" si="16"/>
        <v>1004.9499999999999</v>
      </c>
      <c r="N24" s="4">
        <f t="shared" si="16"/>
        <v>1114</v>
      </c>
      <c r="O24" s="4">
        <f t="shared" ref="O24:S24" si="17">SUM(O21:O23)</f>
        <v>988</v>
      </c>
      <c r="P24" s="4">
        <f t="shared" si="17"/>
        <v>0</v>
      </c>
      <c r="Q24" s="4">
        <f t="shared" si="17"/>
        <v>0</v>
      </c>
      <c r="R24" s="4">
        <f t="shared" si="17"/>
        <v>1057</v>
      </c>
      <c r="S24" s="4">
        <f t="shared" si="17"/>
        <v>1014</v>
      </c>
      <c r="T24" s="4"/>
      <c r="U24" s="4"/>
      <c r="V24" s="4"/>
      <c r="Y24" s="4">
        <f t="shared" ref="Y24" si="18">SUM(Y21:Y23)</f>
        <v>2137</v>
      </c>
      <c r="Z24" s="4">
        <f t="shared" ref="Z24" si="19">SUM(Z21:Z23)</f>
        <v>2317</v>
      </c>
      <c r="AA24" s="4">
        <f t="shared" ref="AA24:AF24" si="20">SUM(AA21:AA23)</f>
        <v>2430</v>
      </c>
      <c r="AB24" s="4">
        <f t="shared" si="20"/>
        <v>2595</v>
      </c>
      <c r="AC24" s="4">
        <f t="shared" si="20"/>
        <v>2696</v>
      </c>
      <c r="AD24" s="4">
        <f t="shared" si="20"/>
        <v>3059</v>
      </c>
      <c r="AE24" s="4">
        <f t="shared" si="20"/>
        <v>3820</v>
      </c>
      <c r="AF24" s="4">
        <f t="shared" si="20"/>
        <v>4033</v>
      </c>
      <c r="AG24" s="4">
        <f t="shared" ref="AG24:AM24" si="21">SUM(AG21:AG23)</f>
        <v>4130</v>
      </c>
      <c r="AH24" s="4">
        <f t="shared" si="21"/>
        <v>4171.3</v>
      </c>
      <c r="AI24" s="4">
        <f t="shared" si="21"/>
        <v>4213.0129999999999</v>
      </c>
      <c r="AJ24" s="4">
        <f t="shared" si="21"/>
        <v>4255.1431299999995</v>
      </c>
      <c r="AK24" s="4">
        <f t="shared" si="21"/>
        <v>4297.6945612999998</v>
      </c>
      <c r="AL24" s="4">
        <f t="shared" si="21"/>
        <v>4340.6715069129996</v>
      </c>
      <c r="AM24" s="4">
        <f t="shared" si="21"/>
        <v>4384.0782219821294</v>
      </c>
    </row>
    <row r="25" spans="2:186" s="3" customFormat="1" x14ac:dyDescent="0.2">
      <c r="B25" s="3" t="s">
        <v>22</v>
      </c>
      <c r="C25" s="4">
        <f t="shared" ref="C25:K25" si="22">C20-C24</f>
        <v>476</v>
      </c>
      <c r="D25" s="4">
        <f t="shared" si="22"/>
        <v>155</v>
      </c>
      <c r="E25" s="4">
        <f t="shared" si="22"/>
        <v>256</v>
      </c>
      <c r="F25" s="4">
        <f t="shared" si="22"/>
        <v>189</v>
      </c>
      <c r="G25" s="4">
        <f t="shared" si="22"/>
        <v>362</v>
      </c>
      <c r="H25" s="4">
        <f t="shared" si="22"/>
        <v>370</v>
      </c>
      <c r="I25" s="4">
        <f t="shared" si="22"/>
        <v>163</v>
      </c>
      <c r="J25" s="4">
        <f t="shared" si="22"/>
        <v>417</v>
      </c>
      <c r="K25" s="4">
        <f t="shared" si="22"/>
        <v>480</v>
      </c>
      <c r="L25" s="4">
        <f t="shared" ref="L25:N25" si="23">L20-L24</f>
        <v>378.88</v>
      </c>
      <c r="M25" s="4">
        <f t="shared" si="23"/>
        <v>431.61700000000008</v>
      </c>
      <c r="N25" s="4">
        <f t="shared" si="23"/>
        <v>312</v>
      </c>
      <c r="O25" s="4">
        <f t="shared" ref="O25:S25" si="24">O20-O24</f>
        <v>568</v>
      </c>
      <c r="P25" s="4">
        <f t="shared" si="24"/>
        <v>0</v>
      </c>
      <c r="Q25" s="4">
        <f t="shared" si="24"/>
        <v>0</v>
      </c>
      <c r="R25" s="4">
        <f t="shared" si="24"/>
        <v>365</v>
      </c>
      <c r="S25" s="4">
        <f t="shared" si="24"/>
        <v>383</v>
      </c>
      <c r="T25" s="4"/>
      <c r="U25" s="4"/>
      <c r="V25" s="4"/>
      <c r="Y25" s="4">
        <f t="shared" ref="Y25" si="25">Y20-Y24</f>
        <v>905</v>
      </c>
      <c r="Z25" s="4">
        <f t="shared" ref="Z25" si="26">Z20-Z24</f>
        <v>1230</v>
      </c>
      <c r="AA25" s="4">
        <f t="shared" ref="AA25:AF25" si="27">AA20-AA24</f>
        <v>1443</v>
      </c>
      <c r="AB25" s="4">
        <f t="shared" si="27"/>
        <v>1033</v>
      </c>
      <c r="AC25" s="4">
        <f t="shared" si="27"/>
        <v>1472</v>
      </c>
      <c r="AD25" s="4">
        <f t="shared" si="27"/>
        <v>1076</v>
      </c>
      <c r="AE25" s="4">
        <f t="shared" si="27"/>
        <v>1312</v>
      </c>
      <c r="AF25" s="4">
        <f t="shared" si="27"/>
        <v>1601</v>
      </c>
      <c r="AG25" s="4">
        <f t="shared" ref="AG25:AM25" si="28">AG20-AG24</f>
        <v>1722</v>
      </c>
      <c r="AH25" s="4">
        <f t="shared" si="28"/>
        <v>1592.4564</v>
      </c>
      <c r="AI25" s="4">
        <f t="shared" si="28"/>
        <v>1763.7687210000013</v>
      </c>
      <c r="AJ25" s="4">
        <f t="shared" si="28"/>
        <v>1942.2580505000014</v>
      </c>
      <c r="AK25" s="4">
        <f t="shared" si="28"/>
        <v>2085.6286546150004</v>
      </c>
      <c r="AL25" s="4">
        <f t="shared" si="28"/>
        <v>2234.1514054794507</v>
      </c>
      <c r="AM25" s="4">
        <f t="shared" si="28"/>
        <v>2387.9893777820944</v>
      </c>
    </row>
    <row r="26" spans="2:186" s="3" customFormat="1" x14ac:dyDescent="0.2">
      <c r="B26" s="3" t="s">
        <v>33</v>
      </c>
      <c r="C26" s="4">
        <v>-3</v>
      </c>
      <c r="D26" s="4">
        <v>-10</v>
      </c>
      <c r="E26" s="4">
        <v>-6</v>
      </c>
      <c r="F26" s="4">
        <v>-10</v>
      </c>
      <c r="G26" s="4">
        <v>-14</v>
      </c>
      <c r="H26" s="4">
        <v>-14</v>
      </c>
      <c r="I26" s="4">
        <v>-11</v>
      </c>
      <c r="J26" s="4">
        <v>-9</v>
      </c>
      <c r="K26" s="4">
        <v>-5</v>
      </c>
      <c r="L26" s="4"/>
      <c r="M26" s="4"/>
      <c r="N26" s="4">
        <v>6</v>
      </c>
      <c r="O26" s="4"/>
      <c r="P26" s="4"/>
      <c r="Q26" s="4"/>
      <c r="R26" s="4">
        <v>26</v>
      </c>
      <c r="S26" s="4">
        <v>30</v>
      </c>
      <c r="T26" s="4"/>
      <c r="U26" s="4"/>
      <c r="V26" s="4"/>
      <c r="Y26" s="4">
        <v>-21</v>
      </c>
      <c r="Z26" s="4">
        <v>-14</v>
      </c>
      <c r="AA26" s="4">
        <v>15</v>
      </c>
      <c r="AB26" s="4">
        <v>83</v>
      </c>
      <c r="AC26" s="4">
        <v>63</v>
      </c>
      <c r="AD26" s="4">
        <v>-29</v>
      </c>
      <c r="AE26" s="4">
        <v>-48</v>
      </c>
      <c r="AF26" s="3">
        <v>-6</v>
      </c>
      <c r="AG26" s="3">
        <v>71</v>
      </c>
      <c r="AH26" s="3">
        <f t="shared" ref="AH26:AM26" si="29">+AG37*$AP$36</f>
        <v>55.767952000000008</v>
      </c>
      <c r="AI26" s="3">
        <f t="shared" si="29"/>
        <v>82.139541632000004</v>
      </c>
      <c r="AJ26" s="3">
        <f t="shared" si="29"/>
        <v>111.67407383411202</v>
      </c>
      <c r="AK26" s="3">
        <f t="shared" si="29"/>
        <v>144.53698782345785</v>
      </c>
      <c r="AL26" s="3">
        <f t="shared" si="29"/>
        <v>180.2196381024732</v>
      </c>
      <c r="AM26" s="3">
        <f t="shared" si="29"/>
        <v>218.84957479978397</v>
      </c>
    </row>
    <row r="27" spans="2:186" s="3" customFormat="1" x14ac:dyDescent="0.2">
      <c r="B27" s="3" t="s">
        <v>32</v>
      </c>
      <c r="C27" s="4">
        <f t="shared" ref="C27:K27" si="30">+C25+C26</f>
        <v>473</v>
      </c>
      <c r="D27" s="4">
        <f t="shared" si="30"/>
        <v>145</v>
      </c>
      <c r="E27" s="4">
        <f t="shared" si="30"/>
        <v>250</v>
      </c>
      <c r="F27" s="4">
        <f t="shared" si="30"/>
        <v>179</v>
      </c>
      <c r="G27" s="4">
        <f t="shared" si="30"/>
        <v>348</v>
      </c>
      <c r="H27" s="4">
        <f t="shared" si="30"/>
        <v>356</v>
      </c>
      <c r="I27" s="4">
        <f t="shared" si="30"/>
        <v>152</v>
      </c>
      <c r="J27" s="4">
        <f t="shared" si="30"/>
        <v>408</v>
      </c>
      <c r="K27" s="4">
        <f t="shared" si="30"/>
        <v>475</v>
      </c>
      <c r="L27" s="4">
        <f t="shared" ref="L27:S27" si="31">+L25+L26</f>
        <v>378.88</v>
      </c>
      <c r="M27" s="4">
        <f t="shared" si="31"/>
        <v>431.61700000000008</v>
      </c>
      <c r="N27" s="4">
        <f t="shared" si="31"/>
        <v>318</v>
      </c>
      <c r="O27" s="4">
        <f t="shared" si="31"/>
        <v>568</v>
      </c>
      <c r="P27" s="4">
        <f t="shared" si="31"/>
        <v>0</v>
      </c>
      <c r="Q27" s="4">
        <f t="shared" si="31"/>
        <v>0</v>
      </c>
      <c r="R27" s="4">
        <f t="shared" si="31"/>
        <v>391</v>
      </c>
      <c r="S27" s="4">
        <f t="shared" si="31"/>
        <v>413</v>
      </c>
      <c r="T27" s="4"/>
      <c r="U27" s="4"/>
      <c r="V27" s="4"/>
      <c r="Y27" s="4">
        <f t="shared" ref="Y27" si="32">+Y25+Y26</f>
        <v>884</v>
      </c>
      <c r="Z27" s="4">
        <f t="shared" ref="Z27" si="33">+Z25+Z26</f>
        <v>1216</v>
      </c>
      <c r="AA27" s="4">
        <f t="shared" ref="AA27:AF27" si="34">+AA25+AA26</f>
        <v>1458</v>
      </c>
      <c r="AB27" s="4">
        <f t="shared" si="34"/>
        <v>1116</v>
      </c>
      <c r="AC27" s="4">
        <f t="shared" si="34"/>
        <v>1535</v>
      </c>
      <c r="AD27" s="4">
        <f t="shared" si="34"/>
        <v>1047</v>
      </c>
      <c r="AE27" s="4">
        <f t="shared" si="34"/>
        <v>1264</v>
      </c>
      <c r="AF27" s="4">
        <f t="shared" si="34"/>
        <v>1595</v>
      </c>
      <c r="AG27" s="4">
        <f t="shared" ref="AG27:AM27" si="35">+AG25+AG26</f>
        <v>1793</v>
      </c>
      <c r="AH27" s="4">
        <f t="shared" si="35"/>
        <v>1648.224352</v>
      </c>
      <c r="AI27" s="4">
        <f t="shared" si="35"/>
        <v>1845.9082626320012</v>
      </c>
      <c r="AJ27" s="4">
        <f t="shared" si="35"/>
        <v>2053.9321243341133</v>
      </c>
      <c r="AK27" s="4">
        <f t="shared" si="35"/>
        <v>2230.1656424384582</v>
      </c>
      <c r="AL27" s="4">
        <f t="shared" si="35"/>
        <v>2414.3710435819239</v>
      </c>
      <c r="AM27" s="4">
        <f t="shared" si="35"/>
        <v>2606.8389525818784</v>
      </c>
    </row>
    <row r="28" spans="2:186" s="3" customFormat="1" x14ac:dyDescent="0.2">
      <c r="B28" s="3" t="s">
        <v>31</v>
      </c>
      <c r="C28" s="4">
        <v>103</v>
      </c>
      <c r="D28" s="4">
        <v>-46</v>
      </c>
      <c r="E28" s="4">
        <v>34</v>
      </c>
      <c r="F28" s="4">
        <v>89</v>
      </c>
      <c r="G28" s="4">
        <v>104</v>
      </c>
      <c r="H28" s="4">
        <v>32</v>
      </c>
      <c r="I28" s="4">
        <v>25</v>
      </c>
      <c r="J28" s="4">
        <v>131</v>
      </c>
      <c r="K28" s="4">
        <v>125</v>
      </c>
      <c r="L28" s="4">
        <f>+L27*0.2</f>
        <v>75.775999999999996</v>
      </c>
      <c r="M28" s="4">
        <f>+M27*0.2</f>
        <v>86.323400000000021</v>
      </c>
      <c r="N28" s="4">
        <v>193</v>
      </c>
      <c r="O28" s="4"/>
      <c r="P28" s="4"/>
      <c r="Q28" s="4"/>
      <c r="R28" s="4">
        <v>78</v>
      </c>
      <c r="S28" s="4">
        <v>114</v>
      </c>
      <c r="T28" s="4"/>
      <c r="U28" s="4"/>
      <c r="V28" s="4"/>
      <c r="Y28" s="4">
        <v>0</v>
      </c>
      <c r="Z28" s="4">
        <v>243</v>
      </c>
      <c r="AA28" s="4">
        <v>406</v>
      </c>
      <c r="AB28" s="4">
        <v>60</v>
      </c>
      <c r="AC28" s="4">
        <v>0</v>
      </c>
      <c r="AD28" s="4">
        <v>180</v>
      </c>
      <c r="AE28" s="4">
        <v>292</v>
      </c>
      <c r="AF28" s="3">
        <v>524</v>
      </c>
      <c r="AG28" s="3">
        <v>316</v>
      </c>
      <c r="AH28" s="3">
        <f t="shared" ref="AH28:AM28" si="36">+AH27*0.2</f>
        <v>329.6448704</v>
      </c>
      <c r="AI28" s="3">
        <f t="shared" si="36"/>
        <v>369.18165252640028</v>
      </c>
      <c r="AJ28" s="3">
        <f t="shared" si="36"/>
        <v>410.7864248668227</v>
      </c>
      <c r="AK28" s="3">
        <f t="shared" si="36"/>
        <v>446.03312848769167</v>
      </c>
      <c r="AL28" s="3">
        <f t="shared" si="36"/>
        <v>482.87420871638483</v>
      </c>
      <c r="AM28" s="3">
        <f t="shared" si="36"/>
        <v>521.36779051637575</v>
      </c>
    </row>
    <row r="29" spans="2:186" s="3" customFormat="1" x14ac:dyDescent="0.2">
      <c r="B29" s="3" t="s">
        <v>30</v>
      </c>
      <c r="C29" s="4">
        <f t="shared" ref="C29:S29" si="37">+C27-C28</f>
        <v>370</v>
      </c>
      <c r="D29" s="4">
        <f t="shared" si="37"/>
        <v>191</v>
      </c>
      <c r="E29" s="4">
        <f t="shared" si="37"/>
        <v>216</v>
      </c>
      <c r="F29" s="4">
        <f t="shared" si="37"/>
        <v>90</v>
      </c>
      <c r="G29" s="4">
        <f t="shared" si="37"/>
        <v>244</v>
      </c>
      <c r="H29" s="4">
        <f t="shared" si="37"/>
        <v>324</v>
      </c>
      <c r="I29" s="4">
        <f t="shared" si="37"/>
        <v>127</v>
      </c>
      <c r="J29" s="4">
        <f t="shared" si="37"/>
        <v>277</v>
      </c>
      <c r="K29" s="4">
        <f t="shared" si="37"/>
        <v>350</v>
      </c>
      <c r="L29" s="4">
        <f t="shared" si="37"/>
        <v>303.10399999999998</v>
      </c>
      <c r="M29" s="4">
        <f t="shared" si="37"/>
        <v>345.29360000000008</v>
      </c>
      <c r="N29" s="4">
        <f t="shared" si="37"/>
        <v>125</v>
      </c>
      <c r="O29" s="4">
        <f t="shared" si="37"/>
        <v>568</v>
      </c>
      <c r="P29" s="4">
        <f t="shared" si="37"/>
        <v>0</v>
      </c>
      <c r="Q29" s="4">
        <f t="shared" si="37"/>
        <v>0</v>
      </c>
      <c r="R29" s="4">
        <f t="shared" si="37"/>
        <v>313</v>
      </c>
      <c r="S29" s="4">
        <f t="shared" si="37"/>
        <v>299</v>
      </c>
      <c r="T29" s="4"/>
      <c r="U29" s="4"/>
      <c r="V29" s="4"/>
      <c r="Y29" s="4">
        <f t="shared" ref="Y29" si="38">+Y27-Y28</f>
        <v>884</v>
      </c>
      <c r="Z29" s="4">
        <f t="shared" ref="Z29" si="39">+Z27-Z28</f>
        <v>973</v>
      </c>
      <c r="AA29" s="4">
        <f t="shared" ref="AA29:AF29" si="40">+AA27-AA28</f>
        <v>1052</v>
      </c>
      <c r="AB29" s="4">
        <f t="shared" si="40"/>
        <v>1056</v>
      </c>
      <c r="AC29" s="4">
        <f t="shared" si="40"/>
        <v>1535</v>
      </c>
      <c r="AD29" s="4">
        <f t="shared" si="40"/>
        <v>867</v>
      </c>
      <c r="AE29" s="4">
        <f t="shared" si="40"/>
        <v>972</v>
      </c>
      <c r="AF29" s="4">
        <f t="shared" si="40"/>
        <v>1071</v>
      </c>
      <c r="AG29" s="4">
        <f t="shared" ref="AG29:AM29" si="41">+AG27-AG28</f>
        <v>1477</v>
      </c>
      <c r="AH29" s="4">
        <f t="shared" si="41"/>
        <v>1318.5794816</v>
      </c>
      <c r="AI29" s="4">
        <f t="shared" si="41"/>
        <v>1476.7266101056009</v>
      </c>
      <c r="AJ29" s="4">
        <f t="shared" si="41"/>
        <v>1643.1456994672906</v>
      </c>
      <c r="AK29" s="4">
        <f t="shared" si="41"/>
        <v>1784.1325139507667</v>
      </c>
      <c r="AL29" s="4">
        <f t="shared" si="41"/>
        <v>1931.4968348655391</v>
      </c>
      <c r="AM29" s="4">
        <f t="shared" si="41"/>
        <v>2085.4711620655025</v>
      </c>
      <c r="AN29" s="3">
        <f>+AM29*(1+$AP$34)</f>
        <v>2127.1805853068126</v>
      </c>
      <c r="AO29" s="3">
        <f t="shared" ref="AO29:CZ29" si="42">+AN29*(1+$AP$34)</f>
        <v>2169.7241970129489</v>
      </c>
      <c r="AP29" s="3">
        <f t="shared" si="42"/>
        <v>2213.1186809532078</v>
      </c>
      <c r="AQ29" s="3">
        <f t="shared" si="42"/>
        <v>2257.3810545722722</v>
      </c>
      <c r="AR29" s="3">
        <f t="shared" si="42"/>
        <v>2302.5286756637179</v>
      </c>
      <c r="AS29" s="3">
        <f t="shared" si="42"/>
        <v>2348.5792491769921</v>
      </c>
      <c r="AT29" s="3">
        <f t="shared" si="42"/>
        <v>2395.5508341605318</v>
      </c>
      <c r="AU29" s="3">
        <f t="shared" si="42"/>
        <v>2443.4618508437425</v>
      </c>
      <c r="AV29" s="3">
        <f t="shared" si="42"/>
        <v>2492.3310878606176</v>
      </c>
      <c r="AW29" s="3">
        <f t="shared" si="42"/>
        <v>2542.1777096178298</v>
      </c>
      <c r="AX29" s="3">
        <f t="shared" si="42"/>
        <v>2593.0212638101866</v>
      </c>
      <c r="AY29" s="3">
        <f t="shared" si="42"/>
        <v>2644.8816890863905</v>
      </c>
      <c r="AZ29" s="3">
        <f t="shared" si="42"/>
        <v>2697.7793228681185</v>
      </c>
      <c r="BA29" s="3">
        <f t="shared" si="42"/>
        <v>2751.7349093254811</v>
      </c>
      <c r="BB29" s="3">
        <f t="shared" si="42"/>
        <v>2806.7696075119907</v>
      </c>
      <c r="BC29" s="3">
        <f t="shared" si="42"/>
        <v>2862.9049996622307</v>
      </c>
      <c r="BD29" s="3">
        <f t="shared" si="42"/>
        <v>2920.1630996554754</v>
      </c>
      <c r="BE29" s="3">
        <f t="shared" si="42"/>
        <v>2978.5663616485849</v>
      </c>
      <c r="BF29" s="3">
        <f t="shared" si="42"/>
        <v>3038.1376888815566</v>
      </c>
      <c r="BG29" s="3">
        <f t="shared" si="42"/>
        <v>3098.9004426591878</v>
      </c>
      <c r="BH29" s="3">
        <f t="shared" si="42"/>
        <v>3160.8784515123716</v>
      </c>
      <c r="BI29" s="3">
        <f t="shared" si="42"/>
        <v>3224.096020542619</v>
      </c>
      <c r="BJ29" s="3">
        <f t="shared" si="42"/>
        <v>3288.5779409534716</v>
      </c>
      <c r="BK29" s="3">
        <f t="shared" si="42"/>
        <v>3354.3494997725411</v>
      </c>
      <c r="BL29" s="3">
        <f t="shared" si="42"/>
        <v>3421.436489767992</v>
      </c>
      <c r="BM29" s="3">
        <f t="shared" si="42"/>
        <v>3489.8652195633517</v>
      </c>
      <c r="BN29" s="3">
        <f t="shared" si="42"/>
        <v>3559.6625239546188</v>
      </c>
      <c r="BO29" s="3">
        <f t="shared" si="42"/>
        <v>3630.8557744337113</v>
      </c>
      <c r="BP29" s="3">
        <f t="shared" si="42"/>
        <v>3703.4728899223855</v>
      </c>
      <c r="BQ29" s="3">
        <f t="shared" si="42"/>
        <v>3777.5423477208333</v>
      </c>
      <c r="BR29" s="3">
        <f t="shared" si="42"/>
        <v>3853.0931946752498</v>
      </c>
      <c r="BS29" s="3">
        <f t="shared" si="42"/>
        <v>3930.1550585687551</v>
      </c>
      <c r="BT29" s="3">
        <f t="shared" si="42"/>
        <v>4008.7581597401304</v>
      </c>
      <c r="BU29" s="3">
        <f t="shared" si="42"/>
        <v>4088.9333229349331</v>
      </c>
      <c r="BV29" s="3">
        <f t="shared" si="42"/>
        <v>4170.7119893936315</v>
      </c>
      <c r="BW29" s="3">
        <f t="shared" si="42"/>
        <v>4254.1262291815046</v>
      </c>
      <c r="BX29" s="3">
        <f t="shared" si="42"/>
        <v>4339.208753765135</v>
      </c>
      <c r="BY29" s="3">
        <f t="shared" si="42"/>
        <v>4425.9929288404383</v>
      </c>
      <c r="BZ29" s="3">
        <f t="shared" si="42"/>
        <v>4514.5127874172467</v>
      </c>
      <c r="CA29" s="3">
        <f t="shared" si="42"/>
        <v>4604.8030431655916</v>
      </c>
      <c r="CB29" s="3">
        <f t="shared" si="42"/>
        <v>4696.8991040289038</v>
      </c>
      <c r="CC29" s="3">
        <f t="shared" si="42"/>
        <v>4790.8370861094818</v>
      </c>
      <c r="CD29" s="3">
        <f t="shared" si="42"/>
        <v>4886.6538278316712</v>
      </c>
      <c r="CE29" s="3">
        <f t="shared" si="42"/>
        <v>4984.3869043883051</v>
      </c>
      <c r="CF29" s="3">
        <f t="shared" si="42"/>
        <v>5084.0746424760709</v>
      </c>
      <c r="CG29" s="3">
        <f t="shared" si="42"/>
        <v>5185.7561353255924</v>
      </c>
      <c r="CH29" s="3">
        <f t="shared" si="42"/>
        <v>5289.4712580321047</v>
      </c>
      <c r="CI29" s="3">
        <f t="shared" si="42"/>
        <v>5395.2606831927469</v>
      </c>
      <c r="CJ29" s="3">
        <f t="shared" si="42"/>
        <v>5503.1658968566016</v>
      </c>
      <c r="CK29" s="3">
        <f t="shared" si="42"/>
        <v>5613.2292147937342</v>
      </c>
      <c r="CL29" s="3">
        <f t="shared" si="42"/>
        <v>5725.4937990896087</v>
      </c>
      <c r="CM29" s="3">
        <f t="shared" si="42"/>
        <v>5840.0036750714007</v>
      </c>
      <c r="CN29" s="3">
        <f t="shared" si="42"/>
        <v>5956.8037485728291</v>
      </c>
      <c r="CO29" s="3">
        <f t="shared" si="42"/>
        <v>6075.9398235442859</v>
      </c>
      <c r="CP29" s="3">
        <f t="shared" si="42"/>
        <v>6197.4586200151716</v>
      </c>
      <c r="CQ29" s="3">
        <f t="shared" si="42"/>
        <v>6321.4077924154753</v>
      </c>
      <c r="CR29" s="3">
        <f t="shared" si="42"/>
        <v>6447.8359482637852</v>
      </c>
      <c r="CS29" s="3">
        <f t="shared" si="42"/>
        <v>6576.7926672290614</v>
      </c>
      <c r="CT29" s="3">
        <f t="shared" si="42"/>
        <v>6708.3285205736429</v>
      </c>
      <c r="CU29" s="3">
        <f t="shared" si="42"/>
        <v>6842.4950909851159</v>
      </c>
      <c r="CV29" s="3">
        <f t="shared" si="42"/>
        <v>6979.3449928048185</v>
      </c>
      <c r="CW29" s="3">
        <f t="shared" si="42"/>
        <v>7118.9318926609149</v>
      </c>
      <c r="CX29" s="3">
        <f t="shared" si="42"/>
        <v>7261.3105305141335</v>
      </c>
      <c r="CY29" s="3">
        <f t="shared" si="42"/>
        <v>7406.536741124416</v>
      </c>
      <c r="CZ29" s="3">
        <f t="shared" si="42"/>
        <v>7554.6674759469042</v>
      </c>
      <c r="DA29" s="3">
        <f t="shared" ref="DA29:FL29" si="43">+CZ29*(1+$AP$34)</f>
        <v>7705.7608254658426</v>
      </c>
      <c r="DB29" s="3">
        <f t="shared" si="43"/>
        <v>7859.8760419751598</v>
      </c>
      <c r="DC29" s="3">
        <f t="shared" si="43"/>
        <v>8017.0735628146631</v>
      </c>
      <c r="DD29" s="3">
        <f t="shared" si="43"/>
        <v>8177.4150340709566</v>
      </c>
      <c r="DE29" s="3">
        <f t="shared" si="43"/>
        <v>8340.9633347523759</v>
      </c>
      <c r="DF29" s="3">
        <f t="shared" si="43"/>
        <v>8507.7826014474231</v>
      </c>
      <c r="DG29" s="3">
        <f t="shared" si="43"/>
        <v>8677.9382534763718</v>
      </c>
      <c r="DH29" s="3">
        <f t="shared" si="43"/>
        <v>8851.4970185458988</v>
      </c>
      <c r="DI29" s="3">
        <f t="shared" si="43"/>
        <v>9028.5269589168165</v>
      </c>
      <c r="DJ29" s="3">
        <f t="shared" si="43"/>
        <v>9209.0974980951523</v>
      </c>
      <c r="DK29" s="3">
        <f t="shared" si="43"/>
        <v>9393.2794480570556</v>
      </c>
      <c r="DL29" s="3">
        <f t="shared" si="43"/>
        <v>9581.1450370181974</v>
      </c>
      <c r="DM29" s="3">
        <f t="shared" si="43"/>
        <v>9772.7679377585609</v>
      </c>
      <c r="DN29" s="3">
        <f t="shared" si="43"/>
        <v>9968.2232965137318</v>
      </c>
      <c r="DO29" s="3">
        <f t="shared" si="43"/>
        <v>10167.587762444007</v>
      </c>
      <c r="DP29" s="3">
        <f t="shared" si="43"/>
        <v>10370.939517692888</v>
      </c>
      <c r="DQ29" s="3">
        <f t="shared" si="43"/>
        <v>10578.358308046747</v>
      </c>
      <c r="DR29" s="3">
        <f t="shared" si="43"/>
        <v>10789.925474207683</v>
      </c>
      <c r="DS29" s="3">
        <f t="shared" si="43"/>
        <v>11005.723983691836</v>
      </c>
      <c r="DT29" s="3">
        <f t="shared" si="43"/>
        <v>11225.838463365673</v>
      </c>
      <c r="DU29" s="3">
        <f t="shared" si="43"/>
        <v>11450.355232632986</v>
      </c>
      <c r="DV29" s="3">
        <f t="shared" si="43"/>
        <v>11679.362337285645</v>
      </c>
      <c r="DW29" s="3">
        <f t="shared" si="43"/>
        <v>11912.949584031359</v>
      </c>
      <c r="DX29" s="3">
        <f t="shared" si="43"/>
        <v>12151.208575711988</v>
      </c>
      <c r="DY29" s="3">
        <f t="shared" si="43"/>
        <v>12394.232747226228</v>
      </c>
      <c r="DZ29" s="3">
        <f t="shared" si="43"/>
        <v>12642.117402170752</v>
      </c>
      <c r="EA29" s="3">
        <f t="shared" si="43"/>
        <v>12894.959750214168</v>
      </c>
      <c r="EB29" s="3">
        <f t="shared" si="43"/>
        <v>13152.858945218451</v>
      </c>
      <c r="EC29" s="3">
        <f t="shared" si="43"/>
        <v>13415.916124122821</v>
      </c>
      <c r="ED29" s="3">
        <f t="shared" si="43"/>
        <v>13684.234446605278</v>
      </c>
      <c r="EE29" s="3">
        <f t="shared" si="43"/>
        <v>13957.919135537384</v>
      </c>
      <c r="EF29" s="3">
        <f t="shared" si="43"/>
        <v>14237.077518248132</v>
      </c>
      <c r="EG29" s="3">
        <f t="shared" si="43"/>
        <v>14521.819068613095</v>
      </c>
      <c r="EH29" s="3">
        <f t="shared" si="43"/>
        <v>14812.255449985358</v>
      </c>
      <c r="EI29" s="3">
        <f t="shared" si="43"/>
        <v>15108.500558985064</v>
      </c>
      <c r="EJ29" s="3">
        <f t="shared" si="43"/>
        <v>15410.670570164766</v>
      </c>
      <c r="EK29" s="3">
        <f t="shared" si="43"/>
        <v>15718.883981568062</v>
      </c>
      <c r="EL29" s="3">
        <f t="shared" si="43"/>
        <v>16033.261661199424</v>
      </c>
      <c r="EM29" s="3">
        <f t="shared" si="43"/>
        <v>16353.926894423412</v>
      </c>
      <c r="EN29" s="3">
        <f t="shared" si="43"/>
        <v>16681.005432311882</v>
      </c>
      <c r="EO29" s="3">
        <f t="shared" si="43"/>
        <v>17014.625540958121</v>
      </c>
      <c r="EP29" s="3">
        <f t="shared" si="43"/>
        <v>17354.918051777284</v>
      </c>
      <c r="EQ29" s="3">
        <f t="shared" si="43"/>
        <v>17702.016412812831</v>
      </c>
      <c r="ER29" s="3">
        <f t="shared" si="43"/>
        <v>18056.056741069089</v>
      </c>
      <c r="ES29" s="3">
        <f t="shared" si="43"/>
        <v>18417.177875890473</v>
      </c>
      <c r="ET29" s="3">
        <f t="shared" si="43"/>
        <v>18785.521433408281</v>
      </c>
      <c r="EU29" s="3">
        <f t="shared" si="43"/>
        <v>19161.231862076445</v>
      </c>
      <c r="EV29" s="3">
        <f t="shared" si="43"/>
        <v>19544.456499317974</v>
      </c>
      <c r="EW29" s="3">
        <f t="shared" si="43"/>
        <v>19935.345629304335</v>
      </c>
      <c r="EX29" s="3">
        <f t="shared" si="43"/>
        <v>20334.052541890422</v>
      </c>
      <c r="EY29" s="3">
        <f t="shared" si="43"/>
        <v>20740.733592728229</v>
      </c>
      <c r="EZ29" s="3">
        <f t="shared" si="43"/>
        <v>21155.548264582794</v>
      </c>
      <c r="FA29" s="3">
        <f t="shared" si="43"/>
        <v>21578.659229874451</v>
      </c>
      <c r="FB29" s="3">
        <f t="shared" si="43"/>
        <v>22010.232414471939</v>
      </c>
      <c r="FC29" s="3">
        <f t="shared" si="43"/>
        <v>22450.437062761379</v>
      </c>
      <c r="FD29" s="3">
        <f t="shared" si="43"/>
        <v>22899.445804016606</v>
      </c>
      <c r="FE29" s="3">
        <f t="shared" si="43"/>
        <v>23357.434720096939</v>
      </c>
      <c r="FF29" s="3">
        <f t="shared" si="43"/>
        <v>23824.583414498877</v>
      </c>
      <c r="FG29" s="3">
        <f t="shared" si="43"/>
        <v>24301.075082788855</v>
      </c>
      <c r="FH29" s="3">
        <f t="shared" si="43"/>
        <v>24787.096584444633</v>
      </c>
      <c r="FI29" s="3">
        <f t="shared" si="43"/>
        <v>25282.838516133525</v>
      </c>
      <c r="FJ29" s="3">
        <f t="shared" si="43"/>
        <v>25788.495286456196</v>
      </c>
      <c r="FK29" s="3">
        <f t="shared" si="43"/>
        <v>26304.265192185321</v>
      </c>
      <c r="FL29" s="3">
        <f t="shared" si="43"/>
        <v>26830.350496029027</v>
      </c>
      <c r="FM29" s="3">
        <f t="shared" ref="FM29:GD29" si="44">+FL29*(1+$AP$34)</f>
        <v>27366.957505949609</v>
      </c>
      <c r="FN29" s="3">
        <f t="shared" si="44"/>
        <v>27914.296656068604</v>
      </c>
      <c r="FO29" s="3">
        <f t="shared" si="44"/>
        <v>28472.582589189977</v>
      </c>
      <c r="FP29" s="3">
        <f t="shared" si="44"/>
        <v>29042.034240973775</v>
      </c>
      <c r="FQ29" s="3">
        <f t="shared" si="44"/>
        <v>29622.87492579325</v>
      </c>
      <c r="FR29" s="3">
        <f t="shared" si="44"/>
        <v>30215.332424309116</v>
      </c>
      <c r="FS29" s="3">
        <f t="shared" si="44"/>
        <v>30819.639072795297</v>
      </c>
      <c r="FT29" s="3">
        <f t="shared" si="44"/>
        <v>31436.031854251203</v>
      </c>
      <c r="FU29" s="3">
        <f t="shared" si="44"/>
        <v>32064.752491336229</v>
      </c>
      <c r="FV29" s="3">
        <f t="shared" si="44"/>
        <v>32706.047541162952</v>
      </c>
      <c r="FW29" s="3">
        <f t="shared" si="44"/>
        <v>33360.168491986209</v>
      </c>
      <c r="FX29" s="3">
        <f t="shared" si="44"/>
        <v>34027.371861825937</v>
      </c>
      <c r="FY29" s="3">
        <f t="shared" si="44"/>
        <v>34707.919299062458</v>
      </c>
      <c r="FZ29" s="3">
        <f t="shared" si="44"/>
        <v>35402.077685043711</v>
      </c>
      <c r="GA29" s="3">
        <f t="shared" si="44"/>
        <v>36110.119238744584</v>
      </c>
      <c r="GB29" s="3">
        <f t="shared" si="44"/>
        <v>36832.321623519478</v>
      </c>
      <c r="GC29" s="3">
        <f t="shared" si="44"/>
        <v>37568.96805598987</v>
      </c>
      <c r="GD29" s="3">
        <f t="shared" si="44"/>
        <v>38320.347417109668</v>
      </c>
    </row>
    <row r="30" spans="2:186" x14ac:dyDescent="0.2">
      <c r="B30" t="s">
        <v>29</v>
      </c>
      <c r="C30" s="2">
        <f t="shared" ref="C30:K30" si="45">+C29/C31</f>
        <v>1.2671232876712328</v>
      </c>
      <c r="D30" s="2">
        <f t="shared" si="45"/>
        <v>0.65187713310580209</v>
      </c>
      <c r="E30" s="2">
        <f t="shared" si="45"/>
        <v>0.73972602739726023</v>
      </c>
      <c r="F30" s="2">
        <f t="shared" si="45"/>
        <v>0.31034482758620691</v>
      </c>
      <c r="G30" s="2">
        <f t="shared" si="45"/>
        <v>0.84429065743944631</v>
      </c>
      <c r="H30" s="2">
        <f t="shared" si="45"/>
        <v>1.1289198606271778</v>
      </c>
      <c r="I30" s="2">
        <f t="shared" si="45"/>
        <v>0.4456140350877193</v>
      </c>
      <c r="J30" s="2">
        <f t="shared" si="45"/>
        <v>0.97879858657243812</v>
      </c>
      <c r="K30" s="2">
        <f t="shared" si="45"/>
        <v>1.2455516014234875</v>
      </c>
      <c r="L30" s="2">
        <f t="shared" ref="L30:N30" si="46">+L29/L31</f>
        <v>1.078661921708185</v>
      </c>
      <c r="M30" s="2">
        <f t="shared" si="46"/>
        <v>1.2288028469750893</v>
      </c>
      <c r="N30" s="2">
        <f t="shared" si="46"/>
        <v>0.45620437956204379</v>
      </c>
      <c r="O30" s="2">
        <f t="shared" ref="O30:S30" si="47">+O29/O31</f>
        <v>2.0729927007299271</v>
      </c>
      <c r="P30" s="2">
        <f t="shared" si="47"/>
        <v>0</v>
      </c>
      <c r="Q30" s="2">
        <f t="shared" si="47"/>
        <v>0</v>
      </c>
      <c r="R30" s="2">
        <f t="shared" si="47"/>
        <v>1.1592592592592592</v>
      </c>
      <c r="S30" s="2">
        <f t="shared" si="47"/>
        <v>1.1156716417910448</v>
      </c>
      <c r="T30" s="2"/>
      <c r="U30" s="2"/>
      <c r="V30" s="2"/>
      <c r="Y30" s="2">
        <f t="shared" ref="Y30" si="48">+Y29/Y31</f>
        <v>2.6787878787878787</v>
      </c>
      <c r="Z30" s="2">
        <f t="shared" ref="Z30" si="49">+Z29/Z31</f>
        <v>3.0987261146496814</v>
      </c>
      <c r="AA30" s="2">
        <f t="shared" ref="AA30:AF30" si="50">+AA29/AA31</f>
        <v>3.3717948717948718</v>
      </c>
      <c r="AB30" s="2">
        <f t="shared" si="50"/>
        <v>3.4509803921568629</v>
      </c>
      <c r="AC30" s="2">
        <f t="shared" si="50"/>
        <v>5.2033898305084749</v>
      </c>
      <c r="AD30" s="2">
        <f t="shared" si="50"/>
        <v>2.9691780821917808</v>
      </c>
      <c r="AE30" s="2">
        <f t="shared" si="50"/>
        <v>3.3986013986013988</v>
      </c>
      <c r="AF30" s="2">
        <f t="shared" si="50"/>
        <v>3.8525179856115108</v>
      </c>
      <c r="AG30" s="2">
        <f t="shared" ref="AG30:AM30" si="51">+AG29/AG31</f>
        <v>5.430147058823529</v>
      </c>
      <c r="AH30" s="2">
        <f t="shared" si="51"/>
        <v>4.8477186823529408</v>
      </c>
      <c r="AI30" s="2">
        <f t="shared" si="51"/>
        <v>5.4291419489176507</v>
      </c>
      <c r="AJ30" s="2">
        <f t="shared" si="51"/>
        <v>6.0409768362768039</v>
      </c>
      <c r="AK30" s="2">
        <f t="shared" si="51"/>
        <v>6.5593107130542894</v>
      </c>
      <c r="AL30" s="2">
        <f t="shared" si="51"/>
        <v>7.1010913046527175</v>
      </c>
      <c r="AM30" s="2">
        <f t="shared" si="51"/>
        <v>7.6671733899467007</v>
      </c>
    </row>
    <row r="31" spans="2:186" s="3" customFormat="1" x14ac:dyDescent="0.2">
      <c r="B31" s="3" t="s">
        <v>1</v>
      </c>
      <c r="C31" s="4">
        <v>292</v>
      </c>
      <c r="D31" s="4">
        <v>293</v>
      </c>
      <c r="E31" s="4">
        <v>292</v>
      </c>
      <c r="F31" s="4">
        <v>290</v>
      </c>
      <c r="G31" s="4">
        <v>289</v>
      </c>
      <c r="H31" s="4">
        <v>287</v>
      </c>
      <c r="I31" s="4">
        <v>285</v>
      </c>
      <c r="J31" s="4">
        <v>283</v>
      </c>
      <c r="K31" s="4">
        <v>281</v>
      </c>
      <c r="L31" s="4">
        <f>+K31</f>
        <v>281</v>
      </c>
      <c r="M31" s="4">
        <f>+L31</f>
        <v>281</v>
      </c>
      <c r="N31" s="4">
        <v>274</v>
      </c>
      <c r="O31" s="4">
        <v>274</v>
      </c>
      <c r="P31" s="4">
        <f t="shared" ref="P31:Q31" si="52">+O31</f>
        <v>274</v>
      </c>
      <c r="Q31" s="4">
        <f t="shared" si="52"/>
        <v>274</v>
      </c>
      <c r="R31" s="4">
        <v>270</v>
      </c>
      <c r="S31" s="4">
        <v>268</v>
      </c>
      <c r="T31" s="4"/>
      <c r="U31" s="4"/>
      <c r="V31" s="4"/>
      <c r="Y31" s="4">
        <v>330</v>
      </c>
      <c r="Z31" s="4">
        <v>314</v>
      </c>
      <c r="AA31" s="4">
        <v>312</v>
      </c>
      <c r="AB31" s="4">
        <v>306</v>
      </c>
      <c r="AC31" s="4">
        <v>295</v>
      </c>
      <c r="AD31" s="4">
        <v>292</v>
      </c>
      <c r="AE31" s="4">
        <v>286</v>
      </c>
      <c r="AF31" s="3">
        <v>278</v>
      </c>
      <c r="AG31" s="3">
        <v>272</v>
      </c>
      <c r="AH31" s="3">
        <f t="shared" ref="AH31:AM31" si="53">+AG31</f>
        <v>272</v>
      </c>
      <c r="AI31" s="3">
        <f t="shared" si="53"/>
        <v>272</v>
      </c>
      <c r="AJ31" s="3">
        <f t="shared" si="53"/>
        <v>272</v>
      </c>
      <c r="AK31" s="3">
        <f t="shared" si="53"/>
        <v>272</v>
      </c>
      <c r="AL31" s="3">
        <f t="shared" si="53"/>
        <v>272</v>
      </c>
      <c r="AM31" s="3">
        <f t="shared" si="53"/>
        <v>272</v>
      </c>
    </row>
    <row r="33" spans="2:42" x14ac:dyDescent="0.2">
      <c r="B33" s="3" t="s">
        <v>39</v>
      </c>
      <c r="D33" s="9"/>
      <c r="E33" s="9"/>
      <c r="F33" s="9"/>
      <c r="G33" s="9">
        <f>G18/C18-1</f>
        <v>6.3056888279643619E-2</v>
      </c>
      <c r="H33" s="9">
        <f>H18/D18-1</f>
        <v>0.58644656820156382</v>
      </c>
      <c r="I33" s="9">
        <f>I18/E18-1</f>
        <v>6.9336521219366398E-2</v>
      </c>
      <c r="J33" s="9">
        <f>J18/F18-1</f>
        <v>0.35586924219910854</v>
      </c>
      <c r="K33" s="9">
        <f>K18/G18-1</f>
        <v>0.13926499032882012</v>
      </c>
      <c r="Z33" s="8">
        <f t="shared" ref="Z33:AF33" si="54">Z18/Y18-1</f>
        <v>0.10213830755232034</v>
      </c>
      <c r="AA33" s="8">
        <f t="shared" si="54"/>
        <v>6.2951496388028882E-2</v>
      </c>
      <c r="AB33" s="8">
        <f t="shared" si="54"/>
        <v>-3.8834951456310662E-2</v>
      </c>
      <c r="AC33" s="8">
        <f t="shared" si="54"/>
        <v>0.11858585858585857</v>
      </c>
      <c r="AD33" s="8">
        <f t="shared" si="54"/>
        <v>1.6615495755824439E-2</v>
      </c>
      <c r="AE33" s="8">
        <f t="shared" si="54"/>
        <v>0.24196127198436668</v>
      </c>
      <c r="AF33" s="8">
        <f t="shared" si="54"/>
        <v>6.2222857960234634E-2</v>
      </c>
      <c r="AG33" s="8">
        <f t="shared" ref="AG33:AM33" si="55">AG18/AF18-1</f>
        <v>1.8314031780231721E-2</v>
      </c>
      <c r="AH33" s="8">
        <f t="shared" si="55"/>
        <v>3.0000000000000027E-2</v>
      </c>
      <c r="AI33" s="8">
        <f t="shared" si="55"/>
        <v>3.0000000000000027E-2</v>
      </c>
      <c r="AJ33" s="8">
        <f t="shared" si="55"/>
        <v>3.0000000000000027E-2</v>
      </c>
      <c r="AK33" s="8">
        <f t="shared" si="55"/>
        <v>3.0000000000000027E-2</v>
      </c>
      <c r="AL33" s="8">
        <f t="shared" si="55"/>
        <v>3.0000000000000027E-2</v>
      </c>
      <c r="AM33" s="8">
        <f t="shared" si="55"/>
        <v>3.0000000000000027E-2</v>
      </c>
    </row>
    <row r="34" spans="2:42" x14ac:dyDescent="0.2">
      <c r="B34" s="3" t="s">
        <v>107</v>
      </c>
      <c r="D34" s="9"/>
      <c r="E34" s="9"/>
      <c r="F34" s="9"/>
      <c r="G34" s="8">
        <f>+G20/G18</f>
        <v>0.79690522243713735</v>
      </c>
      <c r="H34" s="8">
        <f>+H20/H18</f>
        <v>0.72946330777656077</v>
      </c>
      <c r="I34" s="8">
        <f>+I20/I18</f>
        <v>0.64728898826159864</v>
      </c>
      <c r="J34" s="8">
        <f>+J20/J18</f>
        <v>0.7704109589041096</v>
      </c>
      <c r="K34" s="8">
        <f>+K20/K18</f>
        <v>0.82229767968307865</v>
      </c>
      <c r="Y34" s="8">
        <f>+Y20/Y18</f>
        <v>0.69199272065514106</v>
      </c>
      <c r="Z34" s="8">
        <f t="shared" ref="Z34:AE34" si="56">+Z20/Z18</f>
        <v>0.7320949432404541</v>
      </c>
      <c r="AA34" s="8">
        <f t="shared" si="56"/>
        <v>0.75203883495145629</v>
      </c>
      <c r="AB34" s="8">
        <f t="shared" si="56"/>
        <v>0.73292929292929287</v>
      </c>
      <c r="AC34" s="8">
        <f t="shared" si="56"/>
        <v>0.75275419902474261</v>
      </c>
      <c r="AD34" s="8">
        <f t="shared" si="56"/>
        <v>0.7345887368982057</v>
      </c>
      <c r="AE34" s="8">
        <f t="shared" si="56"/>
        <v>0.73408668287798595</v>
      </c>
      <c r="AF34" s="8">
        <f t="shared" ref="AF34:AM34" si="57">+AF20/AF18</f>
        <v>0.75868569889577164</v>
      </c>
      <c r="AG34" s="8">
        <f t="shared" si="57"/>
        <v>0.77386934673366836</v>
      </c>
      <c r="AH34" s="8">
        <f t="shared" si="57"/>
        <v>0.74</v>
      </c>
      <c r="AI34" s="8">
        <f t="shared" si="57"/>
        <v>0.745</v>
      </c>
      <c r="AJ34" s="8">
        <f t="shared" si="57"/>
        <v>0.75</v>
      </c>
      <c r="AK34" s="8">
        <f t="shared" si="57"/>
        <v>0.75</v>
      </c>
      <c r="AL34" s="8">
        <f t="shared" si="57"/>
        <v>0.75</v>
      </c>
      <c r="AM34" s="8">
        <f t="shared" si="57"/>
        <v>0.75</v>
      </c>
      <c r="AO34" s="10" t="s">
        <v>119</v>
      </c>
      <c r="AP34" s="13">
        <v>0.02</v>
      </c>
    </row>
    <row r="35" spans="2:42" x14ac:dyDescent="0.2">
      <c r="B35" s="3" t="s">
        <v>108</v>
      </c>
      <c r="D35" s="9"/>
      <c r="E35" s="9"/>
      <c r="F35" s="9"/>
      <c r="G35" s="8">
        <f>+G25/G18</f>
        <v>0.23339780786589298</v>
      </c>
      <c r="H35" s="8">
        <f>+H25/H18</f>
        <v>0.20262869660460023</v>
      </c>
      <c r="I35" s="8">
        <f>+I25/I18</f>
        <v>9.1112353269983237E-2</v>
      </c>
      <c r="J35" s="8">
        <f>+J25/J18</f>
        <v>0.22849315068493151</v>
      </c>
      <c r="K35" s="8">
        <f>+K25/K18</f>
        <v>0.27164685908319186</v>
      </c>
      <c r="Y35" s="8">
        <f>+Y25/Y18</f>
        <v>0.20586897179253869</v>
      </c>
      <c r="Z35" s="8">
        <f t="shared" ref="Z35:AE35" si="58">+Z25/Z18</f>
        <v>0.25386996904024767</v>
      </c>
      <c r="AA35" s="8">
        <f t="shared" si="58"/>
        <v>0.28019417475728153</v>
      </c>
      <c r="AB35" s="8">
        <f t="shared" si="58"/>
        <v>0.2086868686868687</v>
      </c>
      <c r="AC35" s="8">
        <f t="shared" si="58"/>
        <v>0.26584793209319124</v>
      </c>
      <c r="AD35" s="8">
        <f t="shared" si="58"/>
        <v>0.19115295789660686</v>
      </c>
      <c r="AE35" s="8">
        <f t="shared" si="58"/>
        <v>0.18766986125017879</v>
      </c>
      <c r="AF35" s="8">
        <f t="shared" ref="AF35:AM35" si="59">+AF25/AF18</f>
        <v>0.21559385941287368</v>
      </c>
      <c r="AG35" s="8">
        <f t="shared" si="59"/>
        <v>0.22771753504363926</v>
      </c>
      <c r="AH35" s="8">
        <f t="shared" si="59"/>
        <v>0.20445307785735009</v>
      </c>
      <c r="AI35" s="8">
        <f t="shared" si="59"/>
        <v>0.21985204721934343</v>
      </c>
      <c r="AJ35" s="8">
        <f t="shared" si="59"/>
        <v>0.23504909484615233</v>
      </c>
      <c r="AK35" s="8">
        <f t="shared" si="59"/>
        <v>0.24504814154816867</v>
      </c>
      <c r="AL35" s="8">
        <f t="shared" si="59"/>
        <v>0.25485303200354403</v>
      </c>
      <c r="AM35" s="8">
        <f t="shared" si="59"/>
        <v>0.264467536236485</v>
      </c>
      <c r="AO35" s="10" t="s">
        <v>120</v>
      </c>
      <c r="AP35" s="14">
        <v>0.06</v>
      </c>
    </row>
    <row r="36" spans="2:42" x14ac:dyDescent="0.2">
      <c r="AO36" s="10" t="s">
        <v>123</v>
      </c>
      <c r="AP36" s="13">
        <v>0.02</v>
      </c>
    </row>
    <row r="37" spans="2:42" x14ac:dyDescent="0.2">
      <c r="B37" s="3" t="s">
        <v>122</v>
      </c>
      <c r="G37" s="4">
        <f>+G38-G50</f>
        <v>1842</v>
      </c>
      <c r="H37" s="4">
        <f t="shared" ref="H37:K37" si="60">+H38-H50</f>
        <v>95</v>
      </c>
      <c r="I37" s="4">
        <f t="shared" si="60"/>
        <v>1138</v>
      </c>
      <c r="J37" s="4">
        <f t="shared" si="60"/>
        <v>1184</v>
      </c>
      <c r="K37" s="4">
        <f t="shared" si="60"/>
        <v>538</v>
      </c>
      <c r="L37" s="4">
        <f>+K37+L29</f>
        <v>841.10400000000004</v>
      </c>
      <c r="M37" s="4">
        <f>+L37+M29</f>
        <v>1186.3976000000002</v>
      </c>
      <c r="N37" s="4">
        <f>+M37+N29</f>
        <v>1311.3976000000002</v>
      </c>
      <c r="O37" s="4"/>
      <c r="P37" s="4"/>
      <c r="Q37" s="4"/>
      <c r="R37" s="4">
        <f>R38-R50</f>
        <v>1380</v>
      </c>
      <c r="S37" s="4">
        <f>S38-S50</f>
        <v>884</v>
      </c>
      <c r="T37" s="4"/>
      <c r="U37" s="4"/>
      <c r="V37" s="4"/>
      <c r="AF37" s="3">
        <f>+N37</f>
        <v>1311.3976000000002</v>
      </c>
      <c r="AG37" s="3">
        <f>+AF37+AG29</f>
        <v>2788.3976000000002</v>
      </c>
      <c r="AH37" s="3">
        <f t="shared" ref="AH37:AM37" si="61">+AG37+AH29</f>
        <v>4106.9770816</v>
      </c>
      <c r="AI37" s="3">
        <f t="shared" si="61"/>
        <v>5583.7036917056012</v>
      </c>
      <c r="AJ37" s="3">
        <f t="shared" si="61"/>
        <v>7226.849391172892</v>
      </c>
      <c r="AK37" s="3">
        <f t="shared" si="61"/>
        <v>9010.9819051236591</v>
      </c>
      <c r="AL37" s="3">
        <f t="shared" si="61"/>
        <v>10942.478739989197</v>
      </c>
      <c r="AM37" s="3">
        <f t="shared" si="61"/>
        <v>13027.949902054701</v>
      </c>
      <c r="AO37" s="10" t="s">
        <v>121</v>
      </c>
      <c r="AP37" s="5">
        <f>NPV(AP35,AF29:GI29)+Main!N5-Main!N6</f>
        <v>43812.969575717594</v>
      </c>
    </row>
    <row r="38" spans="2:42" s="3" customFormat="1" x14ac:dyDescent="0.2">
      <c r="B38" s="3" t="s">
        <v>3</v>
      </c>
      <c r="C38" s="4"/>
      <c r="D38" s="4"/>
      <c r="E38" s="4"/>
      <c r="F38" s="4"/>
      <c r="G38" s="4">
        <f>2838+881</f>
        <v>3719</v>
      </c>
      <c r="H38" s="4">
        <f>1630+342</f>
        <v>1972</v>
      </c>
      <c r="I38" s="4">
        <f>2670+346</f>
        <v>3016</v>
      </c>
      <c r="J38" s="4">
        <f>2732+330</f>
        <v>3062</v>
      </c>
      <c r="K38" s="4">
        <f>2082+334</f>
        <v>2416</v>
      </c>
      <c r="L38" s="4"/>
      <c r="M38" s="4"/>
      <c r="N38" s="4"/>
      <c r="O38" s="4"/>
      <c r="P38" s="4"/>
      <c r="Q38" s="4"/>
      <c r="R38" s="4">
        <f>2900+362</f>
        <v>3262</v>
      </c>
      <c r="S38" s="4">
        <f>2400+366</f>
        <v>2766</v>
      </c>
      <c r="T38" s="4"/>
      <c r="U38" s="4"/>
      <c r="V38" s="4"/>
      <c r="AO38" s="5" t="s">
        <v>124</v>
      </c>
      <c r="AP38" s="15">
        <f>AP37/Main!N3</f>
        <v>165.83263065166204</v>
      </c>
    </row>
    <row r="39" spans="2:42" s="3" customFormat="1" x14ac:dyDescent="0.2">
      <c r="B39" s="3" t="s">
        <v>61</v>
      </c>
      <c r="C39" s="4"/>
      <c r="D39" s="4"/>
      <c r="E39" s="4"/>
      <c r="F39" s="4"/>
      <c r="G39" s="4">
        <v>557</v>
      </c>
      <c r="H39" s="4">
        <v>1031</v>
      </c>
      <c r="I39" s="4">
        <v>965</v>
      </c>
      <c r="J39" s="4">
        <v>650</v>
      </c>
      <c r="K39" s="4">
        <v>579</v>
      </c>
      <c r="L39" s="4"/>
      <c r="M39" s="4"/>
      <c r="N39" s="4"/>
      <c r="O39" s="4"/>
      <c r="P39" s="4"/>
      <c r="Q39" s="4"/>
      <c r="R39" s="4">
        <v>565</v>
      </c>
      <c r="S39" s="4">
        <v>433</v>
      </c>
      <c r="T39" s="4"/>
      <c r="U39" s="4"/>
      <c r="V39" s="4"/>
      <c r="AO39" s="5" t="s">
        <v>125</v>
      </c>
      <c r="AP39" s="13">
        <f>AP38/Main!N2-1</f>
        <v>0.16153695210241659</v>
      </c>
    </row>
    <row r="40" spans="2:42" s="3" customFormat="1" x14ac:dyDescent="0.2">
      <c r="B40" s="3" t="s">
        <v>62</v>
      </c>
      <c r="C40" s="4"/>
      <c r="D40" s="4"/>
      <c r="E40" s="4"/>
      <c r="F40" s="4"/>
      <c r="G40" s="4">
        <v>401</v>
      </c>
      <c r="H40" s="4">
        <v>387</v>
      </c>
      <c r="I40" s="4">
        <v>377</v>
      </c>
      <c r="J40" s="4">
        <v>439</v>
      </c>
      <c r="K40" s="4">
        <v>522</v>
      </c>
      <c r="L40" s="4"/>
      <c r="M40" s="4"/>
      <c r="N40" s="4"/>
      <c r="O40" s="4"/>
      <c r="P40" s="4"/>
      <c r="Q40" s="4"/>
      <c r="R40" s="4">
        <v>420</v>
      </c>
      <c r="S40" s="4">
        <v>388</v>
      </c>
      <c r="T40" s="4"/>
      <c r="U40" s="4"/>
      <c r="V40" s="4"/>
    </row>
    <row r="41" spans="2:42" s="3" customFormat="1" x14ac:dyDescent="0.2">
      <c r="B41" s="3" t="s">
        <v>63</v>
      </c>
      <c r="C41" s="4"/>
      <c r="D41" s="4"/>
      <c r="E41" s="4"/>
      <c r="F41" s="4"/>
      <c r="G41" s="4">
        <v>510</v>
      </c>
      <c r="H41" s="4">
        <v>516</v>
      </c>
      <c r="I41" s="4">
        <v>522</v>
      </c>
      <c r="J41" s="4">
        <v>550</v>
      </c>
      <c r="K41" s="4">
        <v>545</v>
      </c>
      <c r="L41" s="4"/>
      <c r="M41" s="4"/>
      <c r="N41" s="4"/>
      <c r="O41" s="4"/>
      <c r="P41" s="4"/>
      <c r="Q41" s="4"/>
      <c r="R41" s="4">
        <v>578</v>
      </c>
      <c r="S41" s="4">
        <v>558</v>
      </c>
      <c r="T41" s="4"/>
      <c r="U41" s="4"/>
      <c r="V41" s="4"/>
    </row>
    <row r="42" spans="2:42" s="3" customFormat="1" x14ac:dyDescent="0.2">
      <c r="B42" s="3" t="s">
        <v>64</v>
      </c>
      <c r="C42" s="4"/>
      <c r="D42" s="4"/>
      <c r="E42" s="4"/>
      <c r="F42" s="4"/>
      <c r="G42" s="4">
        <f>4256+909</f>
        <v>5165</v>
      </c>
      <c r="H42" s="4">
        <f>5459+1080</f>
        <v>6539</v>
      </c>
      <c r="I42" s="4">
        <f>5389+1052</f>
        <v>6441</v>
      </c>
      <c r="J42" s="4">
        <f>5387+962</f>
        <v>6349</v>
      </c>
      <c r="K42" s="4">
        <f>5382+893</f>
        <v>6275</v>
      </c>
      <c r="L42" s="4"/>
      <c r="M42" s="4"/>
      <c r="N42" s="4"/>
      <c r="O42" s="4"/>
      <c r="P42" s="4"/>
      <c r="Q42" s="4"/>
      <c r="R42" s="4">
        <f>5379+400</f>
        <v>5779</v>
      </c>
      <c r="S42" s="4">
        <f>5379+373</f>
        <v>5752</v>
      </c>
      <c r="T42" s="4"/>
      <c r="U42" s="4"/>
      <c r="V42" s="4"/>
    </row>
    <row r="43" spans="2:42" s="3" customFormat="1" x14ac:dyDescent="0.2">
      <c r="B43" s="3" t="s">
        <v>65</v>
      </c>
      <c r="C43" s="4"/>
      <c r="D43" s="4"/>
      <c r="E43" s="4"/>
      <c r="F43" s="4"/>
      <c r="G43" s="4">
        <v>1960</v>
      </c>
      <c r="H43" s="4">
        <v>2139</v>
      </c>
      <c r="I43" s="4">
        <v>2130</v>
      </c>
      <c r="J43" s="4">
        <v>2243</v>
      </c>
      <c r="K43" s="4">
        <v>2327</v>
      </c>
      <c r="L43" s="4"/>
      <c r="M43" s="4"/>
      <c r="N43" s="4"/>
      <c r="O43" s="4"/>
      <c r="P43" s="4"/>
      <c r="Q43" s="4"/>
      <c r="R43" s="4">
        <v>2380</v>
      </c>
      <c r="S43" s="4">
        <v>2393</v>
      </c>
      <c r="T43" s="4"/>
      <c r="U43" s="4"/>
      <c r="V43" s="4"/>
    </row>
    <row r="44" spans="2:42" s="3" customFormat="1" x14ac:dyDescent="0.2">
      <c r="B44" s="3" t="s">
        <v>66</v>
      </c>
      <c r="C44" s="4"/>
      <c r="D44" s="4"/>
      <c r="E44" s="4"/>
      <c r="F44" s="4"/>
      <c r="G44" s="4">
        <v>422</v>
      </c>
      <c r="H44" s="4">
        <v>435</v>
      </c>
      <c r="I44" s="4">
        <v>479</v>
      </c>
      <c r="J44" s="4">
        <v>507</v>
      </c>
      <c r="K44" s="4">
        <v>528</v>
      </c>
      <c r="L44" s="4"/>
      <c r="M44" s="4"/>
      <c r="N44" s="4"/>
      <c r="O44" s="4"/>
      <c r="P44" s="4"/>
      <c r="Q44" s="4"/>
      <c r="R44" s="4">
        <v>436</v>
      </c>
      <c r="S44" s="4">
        <v>418</v>
      </c>
      <c r="T44" s="4"/>
      <c r="U44" s="4"/>
      <c r="V44" s="4"/>
    </row>
    <row r="45" spans="2:42" s="3" customFormat="1" x14ac:dyDescent="0.2">
      <c r="B45" s="3" t="s">
        <v>60</v>
      </c>
      <c r="C45" s="4"/>
      <c r="D45" s="4"/>
      <c r="E45" s="4"/>
      <c r="F45" s="4"/>
      <c r="G45" s="4">
        <f t="shared" ref="G45" si="62">SUM(G38:G44)</f>
        <v>12734</v>
      </c>
      <c r="H45" s="4">
        <f t="shared" ref="H45" si="63">SUM(H38:H44)</f>
        <v>13019</v>
      </c>
      <c r="I45" s="4">
        <f t="shared" ref="I45" si="64">SUM(I38:I44)</f>
        <v>13930</v>
      </c>
      <c r="J45" s="4">
        <f t="shared" ref="J45" si="65">SUM(J38:J44)</f>
        <v>13800</v>
      </c>
      <c r="K45" s="4">
        <f>SUM(K38:K44)</f>
        <v>13192</v>
      </c>
      <c r="L45" s="4"/>
      <c r="M45" s="4"/>
      <c r="N45" s="4"/>
      <c r="O45" s="4"/>
      <c r="P45" s="4"/>
      <c r="Q45" s="4"/>
      <c r="R45" s="4">
        <f t="shared" ref="R45" si="66">SUM(R38:R44)</f>
        <v>13420</v>
      </c>
      <c r="S45" s="4">
        <f>SUM(S38:S44)</f>
        <v>12708</v>
      </c>
      <c r="T45" s="4"/>
      <c r="U45" s="4"/>
      <c r="V45" s="4"/>
    </row>
    <row r="46" spans="2:42" s="3" customForma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2:42" s="3" customFormat="1" x14ac:dyDescent="0.2">
      <c r="B47" s="3" t="s">
        <v>67</v>
      </c>
      <c r="C47" s="4"/>
      <c r="D47" s="4"/>
      <c r="E47" s="4"/>
      <c r="F47" s="4"/>
      <c r="G47" s="4">
        <v>73</v>
      </c>
      <c r="H47" s="4">
        <v>136</v>
      </c>
      <c r="I47" s="4">
        <v>86</v>
      </c>
      <c r="J47" s="4">
        <v>101</v>
      </c>
      <c r="K47" s="4">
        <v>70</v>
      </c>
      <c r="L47" s="4"/>
      <c r="M47" s="4"/>
      <c r="N47" s="4"/>
      <c r="O47" s="4"/>
      <c r="P47" s="4"/>
      <c r="Q47" s="4"/>
      <c r="R47" s="4">
        <v>110</v>
      </c>
      <c r="S47" s="4">
        <v>80</v>
      </c>
      <c r="T47" s="4"/>
      <c r="U47" s="4"/>
      <c r="V47" s="4"/>
    </row>
    <row r="48" spans="2:42" s="3" customFormat="1" x14ac:dyDescent="0.2">
      <c r="B48" s="3" t="s">
        <v>69</v>
      </c>
      <c r="C48" s="4"/>
      <c r="D48" s="4"/>
      <c r="E48" s="4"/>
      <c r="F48" s="4"/>
      <c r="G48" s="4">
        <v>1093</v>
      </c>
      <c r="H48" s="4">
        <v>1119</v>
      </c>
      <c r="I48" s="4">
        <v>1443</v>
      </c>
      <c r="J48" s="4">
        <v>1388</v>
      </c>
      <c r="K48" s="4">
        <v>1215</v>
      </c>
      <c r="L48" s="4"/>
      <c r="M48" s="4"/>
      <c r="N48" s="4"/>
      <c r="O48" s="4"/>
      <c r="P48" s="4"/>
      <c r="Q48" s="4"/>
      <c r="R48" s="4">
        <v>1166</v>
      </c>
      <c r="S48" s="4">
        <v>976</v>
      </c>
      <c r="T48" s="4"/>
      <c r="U48" s="4"/>
      <c r="V48" s="4"/>
    </row>
    <row r="49" spans="2:22" s="3" customFormat="1" x14ac:dyDescent="0.2">
      <c r="B49" s="3" t="s">
        <v>68</v>
      </c>
      <c r="C49" s="4"/>
      <c r="D49" s="4"/>
      <c r="E49" s="4"/>
      <c r="F49" s="4"/>
      <c r="G49" s="4">
        <v>1305</v>
      </c>
      <c r="H49" s="4">
        <v>1322</v>
      </c>
      <c r="I49" s="4">
        <v>2101</v>
      </c>
      <c r="J49" s="4">
        <v>2024</v>
      </c>
      <c r="K49" s="4">
        <v>1548</v>
      </c>
      <c r="L49" s="4"/>
      <c r="M49" s="4"/>
      <c r="N49" s="4"/>
      <c r="O49" s="4"/>
      <c r="P49" s="4"/>
      <c r="Q49" s="4"/>
      <c r="R49" s="4">
        <v>1814</v>
      </c>
      <c r="S49" s="4">
        <v>1412</v>
      </c>
      <c r="T49" s="4"/>
      <c r="U49" s="4"/>
      <c r="V49" s="4"/>
    </row>
    <row r="50" spans="2:22" s="3" customFormat="1" x14ac:dyDescent="0.2">
      <c r="B50" s="3" t="s">
        <v>4</v>
      </c>
      <c r="C50" s="4"/>
      <c r="D50" s="4"/>
      <c r="E50" s="4"/>
      <c r="F50" s="4"/>
      <c r="G50" s="4">
        <v>1877</v>
      </c>
      <c r="H50" s="4">
        <v>1877</v>
      </c>
      <c r="I50" s="4">
        <v>1878</v>
      </c>
      <c r="J50" s="4">
        <v>1878</v>
      </c>
      <c r="K50" s="4">
        <v>1878</v>
      </c>
      <c r="L50" s="4"/>
      <c r="M50" s="4"/>
      <c r="N50" s="4"/>
      <c r="O50" s="4"/>
      <c r="P50" s="4"/>
      <c r="Q50" s="4"/>
      <c r="R50" s="4">
        <v>1882</v>
      </c>
      <c r="S50" s="4">
        <v>1882</v>
      </c>
      <c r="T50" s="4"/>
      <c r="U50" s="4"/>
      <c r="V50" s="4"/>
    </row>
    <row r="51" spans="2:22" s="3" customFormat="1" x14ac:dyDescent="0.2">
      <c r="B51" s="3" t="s">
        <v>31</v>
      </c>
      <c r="C51" s="4"/>
      <c r="D51" s="4"/>
      <c r="E51" s="4"/>
      <c r="F51" s="4"/>
      <c r="G51" s="4">
        <f>321+24</f>
        <v>345</v>
      </c>
      <c r="H51" s="4">
        <f>318+68</f>
        <v>386</v>
      </c>
      <c r="I51" s="4">
        <f>326+75</f>
        <v>401</v>
      </c>
      <c r="J51" s="4">
        <f>386+1</f>
        <v>387</v>
      </c>
      <c r="K51" s="4">
        <f>438+1</f>
        <v>439</v>
      </c>
      <c r="L51" s="4"/>
      <c r="M51" s="4"/>
      <c r="N51" s="4"/>
      <c r="O51" s="4"/>
      <c r="P51" s="4"/>
      <c r="Q51" s="4"/>
      <c r="R51" s="4">
        <v>498</v>
      </c>
      <c r="S51" s="4">
        <v>526</v>
      </c>
      <c r="T51" s="4"/>
      <c r="U51" s="4"/>
      <c r="V51" s="4"/>
    </row>
    <row r="52" spans="2:22" s="3" customFormat="1" x14ac:dyDescent="0.2">
      <c r="B52" s="3" t="s">
        <v>66</v>
      </c>
      <c r="C52" s="4"/>
      <c r="D52" s="4"/>
      <c r="E52" s="4"/>
      <c r="F52" s="4"/>
      <c r="G52" s="4">
        <v>313</v>
      </c>
      <c r="H52" s="4">
        <v>323</v>
      </c>
      <c r="I52" s="4">
        <v>404</v>
      </c>
      <c r="J52" s="4">
        <v>397</v>
      </c>
      <c r="K52" s="4">
        <v>401</v>
      </c>
      <c r="L52" s="4"/>
      <c r="M52" s="4"/>
      <c r="N52" s="4"/>
      <c r="O52" s="4"/>
      <c r="P52" s="4"/>
      <c r="Q52" s="4"/>
      <c r="R52" s="4">
        <v>437</v>
      </c>
      <c r="S52" s="4">
        <v>432</v>
      </c>
      <c r="T52" s="4"/>
      <c r="U52" s="4"/>
      <c r="V52" s="4"/>
    </row>
    <row r="53" spans="2:22" s="3" customFormat="1" x14ac:dyDescent="0.2">
      <c r="B53" s="3" t="s">
        <v>71</v>
      </c>
      <c r="C53" s="4"/>
      <c r="D53" s="4"/>
      <c r="E53" s="4"/>
      <c r="F53" s="4"/>
      <c r="G53" s="4">
        <v>7728</v>
      </c>
      <c r="H53" s="4">
        <v>7856</v>
      </c>
      <c r="I53" s="4">
        <v>7617</v>
      </c>
      <c r="J53" s="4">
        <v>7625</v>
      </c>
      <c r="K53" s="4">
        <v>7641</v>
      </c>
      <c r="L53" s="4"/>
      <c r="M53" s="4"/>
      <c r="N53" s="4"/>
      <c r="O53" s="4"/>
      <c r="P53" s="4"/>
      <c r="Q53" s="4"/>
      <c r="R53" s="4">
        <v>7513</v>
      </c>
      <c r="S53" s="4">
        <v>7400</v>
      </c>
      <c r="T53" s="4"/>
      <c r="U53" s="4"/>
      <c r="V53" s="4"/>
    </row>
    <row r="54" spans="2:22" s="3" customFormat="1" x14ac:dyDescent="0.2">
      <c r="B54" s="3" t="s">
        <v>70</v>
      </c>
      <c r="C54" s="4"/>
      <c r="D54" s="4"/>
      <c r="E54" s="4"/>
      <c r="F54" s="4"/>
      <c r="G54" s="4">
        <f t="shared" ref="G54" si="67">SUM(G47:G53)</f>
        <v>12734</v>
      </c>
      <c r="H54" s="4">
        <f t="shared" ref="H54" si="68">SUM(H47:H53)</f>
        <v>13019</v>
      </c>
      <c r="I54" s="4">
        <f t="shared" ref="I54" si="69">SUM(I47:I53)</f>
        <v>13930</v>
      </c>
      <c r="J54" s="4">
        <f t="shared" ref="J54" si="70">SUM(J47:J53)</f>
        <v>13800</v>
      </c>
      <c r="K54" s="4">
        <f>SUM(K47:K53)</f>
        <v>13192</v>
      </c>
      <c r="L54" s="4"/>
      <c r="M54" s="4"/>
      <c r="N54" s="4"/>
      <c r="O54" s="4"/>
      <c r="P54" s="4"/>
      <c r="Q54" s="4"/>
      <c r="R54" s="4">
        <f t="shared" ref="R54" si="71">SUM(R47:R53)</f>
        <v>13420</v>
      </c>
      <c r="S54" s="4">
        <f>SUM(S47:S53)</f>
        <v>12708</v>
      </c>
      <c r="T54" s="4"/>
      <c r="U54" s="4"/>
      <c r="V54" s="4"/>
    </row>
    <row r="56" spans="2:22" s="3" customFormat="1" x14ac:dyDescent="0.2">
      <c r="B56" s="3" t="s">
        <v>34</v>
      </c>
      <c r="C56" s="4"/>
      <c r="D56" s="4"/>
      <c r="E56" s="4"/>
      <c r="F56" s="4"/>
      <c r="G56" s="4">
        <f>+G29</f>
        <v>244</v>
      </c>
      <c r="H56" s="4">
        <f t="shared" ref="H56:J56" si="72">+H29</f>
        <v>324</v>
      </c>
      <c r="I56" s="4">
        <f t="shared" si="72"/>
        <v>127</v>
      </c>
      <c r="J56" s="4">
        <f t="shared" si="72"/>
        <v>277</v>
      </c>
      <c r="K56" s="4">
        <f>+K29</f>
        <v>350</v>
      </c>
      <c r="L56" s="4">
        <f t="shared" ref="L56:S56" si="73">+L29</f>
        <v>303.10399999999998</v>
      </c>
      <c r="M56" s="4">
        <f t="shared" si="73"/>
        <v>345.29360000000008</v>
      </c>
      <c r="N56" s="4">
        <f t="shared" si="73"/>
        <v>125</v>
      </c>
      <c r="O56" s="4">
        <f t="shared" si="73"/>
        <v>568</v>
      </c>
      <c r="P56" s="4">
        <f t="shared" si="73"/>
        <v>0</v>
      </c>
      <c r="Q56" s="4">
        <f t="shared" si="73"/>
        <v>0</v>
      </c>
      <c r="R56" s="4">
        <f t="shared" si="73"/>
        <v>313</v>
      </c>
      <c r="S56" s="4">
        <f t="shared" si="73"/>
        <v>299</v>
      </c>
      <c r="T56" s="4"/>
      <c r="U56" s="4"/>
      <c r="V56" s="4"/>
    </row>
    <row r="57" spans="2:22" s="3" customFormat="1" x14ac:dyDescent="0.2">
      <c r="B57" s="3" t="s">
        <v>72</v>
      </c>
      <c r="C57" s="4"/>
      <c r="D57" s="4"/>
      <c r="E57" s="4"/>
      <c r="F57" s="4"/>
      <c r="G57" s="4">
        <v>204</v>
      </c>
      <c r="H57" s="4">
        <f>498-G57</f>
        <v>294</v>
      </c>
      <c r="I57" s="4">
        <f>564-H57-G57</f>
        <v>66</v>
      </c>
      <c r="J57" s="4">
        <f>789-I57-H57-G57</f>
        <v>225</v>
      </c>
      <c r="K57" s="4">
        <v>311</v>
      </c>
      <c r="L57" s="4"/>
      <c r="M57" s="4"/>
      <c r="N57" s="4"/>
      <c r="O57" s="4"/>
      <c r="P57" s="4"/>
      <c r="Q57" s="4"/>
      <c r="R57" s="4">
        <v>182</v>
      </c>
      <c r="S57" s="4">
        <v>280</v>
      </c>
      <c r="T57" s="4"/>
      <c r="U57" s="4"/>
      <c r="V57" s="4"/>
    </row>
    <row r="58" spans="2:22" s="3" customFormat="1" x14ac:dyDescent="0.2">
      <c r="B58" s="3" t="s">
        <v>75</v>
      </c>
      <c r="C58" s="4"/>
      <c r="D58" s="4"/>
      <c r="E58" s="4"/>
      <c r="F58" s="4"/>
      <c r="G58" s="4">
        <v>105</v>
      </c>
      <c r="H58" s="4">
        <f>199-G58</f>
        <v>94</v>
      </c>
      <c r="I58" s="4">
        <f>345-H58-G58</f>
        <v>146</v>
      </c>
      <c r="J58" s="4">
        <f>486-I58-H58-G58</f>
        <v>141</v>
      </c>
      <c r="K58" s="4">
        <v>114</v>
      </c>
      <c r="L58" s="4"/>
      <c r="M58" s="4"/>
      <c r="N58" s="4"/>
      <c r="O58" s="4"/>
      <c r="P58" s="4"/>
      <c r="Q58" s="4"/>
      <c r="R58" s="4">
        <v>149</v>
      </c>
      <c r="S58" s="4">
        <v>80</v>
      </c>
      <c r="T58" s="4"/>
      <c r="U58" s="4"/>
      <c r="V58" s="4"/>
    </row>
    <row r="59" spans="2:22" s="3" customFormat="1" x14ac:dyDescent="0.2">
      <c r="B59" s="3" t="s">
        <v>74</v>
      </c>
      <c r="C59" s="4"/>
      <c r="D59" s="4"/>
      <c r="E59" s="4"/>
      <c r="F59" s="4"/>
      <c r="G59" s="4">
        <v>125</v>
      </c>
      <c r="H59" s="4">
        <f>274-G59</f>
        <v>149</v>
      </c>
      <c r="I59" s="4">
        <f>403-H59-G59</f>
        <v>129</v>
      </c>
      <c r="J59" s="4">
        <f>528-I59-H59-G59</f>
        <v>125</v>
      </c>
      <c r="K59" s="4">
        <v>125</v>
      </c>
      <c r="L59" s="4"/>
      <c r="M59" s="4"/>
      <c r="N59" s="4"/>
      <c r="O59" s="4"/>
      <c r="P59" s="4"/>
      <c r="Q59" s="4"/>
      <c r="R59" s="4">
        <v>148</v>
      </c>
      <c r="S59" s="4">
        <v>143</v>
      </c>
      <c r="T59" s="4"/>
      <c r="U59" s="4"/>
      <c r="V59" s="4"/>
    </row>
    <row r="60" spans="2:22" s="3" customFormat="1" x14ac:dyDescent="0.2">
      <c r="B60" s="3" t="s">
        <v>61</v>
      </c>
      <c r="C60" s="4"/>
      <c r="D60" s="4"/>
      <c r="E60" s="4"/>
      <c r="F60" s="4"/>
      <c r="G60" s="4">
        <v>12</v>
      </c>
      <c r="H60" s="4">
        <f>-446-G60</f>
        <v>-458</v>
      </c>
      <c r="I60" s="4">
        <f>-390-H60-G60</f>
        <v>56</v>
      </c>
      <c r="J60" s="4">
        <f>-77-I60-H60-G60</f>
        <v>313</v>
      </c>
      <c r="K60" s="4">
        <v>70</v>
      </c>
      <c r="L60" s="4"/>
      <c r="M60" s="4"/>
      <c r="N60" s="4"/>
      <c r="O60" s="4"/>
      <c r="P60" s="4"/>
      <c r="Q60" s="4"/>
      <c r="R60" s="4">
        <v>303</v>
      </c>
      <c r="S60" s="4">
        <v>132</v>
      </c>
      <c r="T60" s="4"/>
      <c r="U60" s="4"/>
      <c r="V60" s="4"/>
    </row>
    <row r="61" spans="2:22" s="3" customFormat="1" x14ac:dyDescent="0.2">
      <c r="B61" s="3" t="s">
        <v>76</v>
      </c>
      <c r="C61" s="4"/>
      <c r="D61" s="4"/>
      <c r="E61" s="4"/>
      <c r="F61" s="4"/>
      <c r="G61" s="4">
        <v>-74</v>
      </c>
      <c r="H61" s="4">
        <f>-51-G61</f>
        <v>23</v>
      </c>
      <c r="I61" s="4">
        <f>-75-H61-G61</f>
        <v>-24</v>
      </c>
      <c r="J61" s="4">
        <f>-157-I61-H61-G61</f>
        <v>-82</v>
      </c>
      <c r="K61" s="4">
        <v>-15</v>
      </c>
      <c r="L61" s="4"/>
      <c r="M61" s="4"/>
      <c r="N61" s="4"/>
      <c r="O61" s="4"/>
      <c r="P61" s="4"/>
      <c r="Q61" s="4"/>
      <c r="R61" s="4">
        <v>-38</v>
      </c>
      <c r="S61" s="4">
        <v>58</v>
      </c>
      <c r="T61" s="4"/>
      <c r="U61" s="4"/>
      <c r="V61" s="4"/>
    </row>
    <row r="62" spans="2:22" s="3" customFormat="1" x14ac:dyDescent="0.2">
      <c r="B62" s="3" t="s">
        <v>67</v>
      </c>
      <c r="C62" s="4"/>
      <c r="D62" s="4"/>
      <c r="E62" s="4"/>
      <c r="F62" s="4"/>
      <c r="G62" s="4">
        <v>-19</v>
      </c>
      <c r="H62" s="4">
        <f>42-G62</f>
        <v>61</v>
      </c>
      <c r="I62" s="4">
        <f>-9-H62-G62</f>
        <v>-51</v>
      </c>
      <c r="J62" s="4">
        <f>-7-I62-H62-G62</f>
        <v>2</v>
      </c>
      <c r="K62" s="4">
        <v>-16</v>
      </c>
      <c r="L62" s="4"/>
      <c r="M62" s="4"/>
      <c r="N62" s="4"/>
      <c r="O62" s="4"/>
      <c r="P62" s="4"/>
      <c r="Q62" s="4"/>
      <c r="R62" s="4">
        <v>30</v>
      </c>
      <c r="S62" s="4">
        <v>-11</v>
      </c>
      <c r="T62" s="4"/>
      <c r="U62" s="4"/>
      <c r="V62" s="4"/>
    </row>
    <row r="63" spans="2:22" s="3" customFormat="1" x14ac:dyDescent="0.2">
      <c r="B63" s="3" t="s">
        <v>69</v>
      </c>
      <c r="C63" s="4"/>
      <c r="D63" s="4"/>
      <c r="E63" s="4"/>
      <c r="F63" s="4"/>
      <c r="G63" s="4">
        <v>-302</v>
      </c>
      <c r="H63" s="4">
        <f>-250-G63</f>
        <v>52</v>
      </c>
      <c r="I63" s="4">
        <f>183-H63-G63</f>
        <v>433</v>
      </c>
      <c r="J63" s="4">
        <f>169-I63-H63-G63</f>
        <v>-14</v>
      </c>
      <c r="K63" s="4">
        <v>-105</v>
      </c>
      <c r="L63" s="4"/>
      <c r="M63" s="4"/>
      <c r="N63" s="4"/>
      <c r="O63" s="4"/>
      <c r="P63" s="4"/>
      <c r="Q63" s="4"/>
      <c r="R63" s="4">
        <v>-83</v>
      </c>
      <c r="S63" s="4">
        <v>-147</v>
      </c>
      <c r="T63" s="4"/>
      <c r="U63" s="4"/>
      <c r="V63" s="4"/>
    </row>
    <row r="64" spans="2:22" s="3" customFormat="1" x14ac:dyDescent="0.2">
      <c r="B64" s="3" t="s">
        <v>65</v>
      </c>
      <c r="C64" s="4"/>
      <c r="D64" s="4"/>
      <c r="E64" s="4"/>
      <c r="F64" s="4"/>
      <c r="G64" s="4">
        <v>28</v>
      </c>
      <c r="H64" s="4">
        <f>-140-G64</f>
        <v>-168</v>
      </c>
      <c r="I64" s="4">
        <f>-140-H64-G64</f>
        <v>0</v>
      </c>
      <c r="J64" s="4">
        <f>-329-I64-H64-G64</f>
        <v>-189</v>
      </c>
      <c r="K64" s="4">
        <v>-86</v>
      </c>
      <c r="L64" s="4"/>
      <c r="M64" s="4"/>
      <c r="N64" s="4"/>
      <c r="O64" s="4"/>
      <c r="P64" s="4"/>
      <c r="Q64" s="4"/>
      <c r="R64" s="4">
        <v>-6</v>
      </c>
      <c r="S64" s="4">
        <v>-13</v>
      </c>
      <c r="T64" s="4"/>
      <c r="U64" s="4"/>
      <c r="V64" s="4"/>
    </row>
    <row r="65" spans="2:33" s="3" customFormat="1" x14ac:dyDescent="0.2">
      <c r="B65" s="3" t="s">
        <v>68</v>
      </c>
      <c r="C65" s="4"/>
      <c r="D65" s="4"/>
      <c r="E65" s="4"/>
      <c r="F65" s="4"/>
      <c r="G65" s="4">
        <v>-222</v>
      </c>
      <c r="H65" s="4">
        <f>-205-G65</f>
        <v>17</v>
      </c>
      <c r="I65" s="4">
        <f>574-H65-G65</f>
        <v>779</v>
      </c>
      <c r="J65" s="4">
        <f>497-I65-H65-G65</f>
        <v>-77</v>
      </c>
      <c r="K65" s="4">
        <v>-476</v>
      </c>
      <c r="L65" s="4"/>
      <c r="M65" s="4"/>
      <c r="N65" s="4"/>
      <c r="O65" s="4"/>
      <c r="P65" s="4"/>
      <c r="Q65" s="4"/>
      <c r="R65" s="4">
        <v>-105</v>
      </c>
      <c r="S65" s="4">
        <v>-402</v>
      </c>
      <c r="T65" s="4"/>
      <c r="U65" s="4"/>
      <c r="V65" s="4"/>
    </row>
    <row r="66" spans="2:33" s="3" customFormat="1" x14ac:dyDescent="0.2">
      <c r="B66" s="3" t="s">
        <v>73</v>
      </c>
      <c r="C66" s="4"/>
      <c r="D66" s="4"/>
      <c r="E66" s="4"/>
      <c r="F66" s="4"/>
      <c r="G66" s="4">
        <f>SUM(G57:G65)</f>
        <v>-143</v>
      </c>
      <c r="H66" s="4">
        <f t="shared" ref="H66" si="74">SUM(H57:H65)</f>
        <v>64</v>
      </c>
      <c r="I66" s="4">
        <f t="shared" ref="I66:J66" si="75">SUM(I57:I65)</f>
        <v>1534</v>
      </c>
      <c r="J66" s="4">
        <f t="shared" si="75"/>
        <v>444</v>
      </c>
      <c r="K66" s="4">
        <f>SUM(K57:K65)</f>
        <v>-78</v>
      </c>
      <c r="L66" s="4"/>
      <c r="M66" s="4"/>
      <c r="N66" s="4"/>
      <c r="O66" s="4"/>
      <c r="P66" s="4"/>
      <c r="Q66" s="4"/>
      <c r="R66" s="4">
        <f>SUM(R57:R65)</f>
        <v>580</v>
      </c>
      <c r="S66" s="4">
        <f>SUM(S57:S65)</f>
        <v>120</v>
      </c>
      <c r="T66" s="4"/>
      <c r="U66" s="4"/>
      <c r="V66" s="4"/>
      <c r="Y66" s="3">
        <v>1465</v>
      </c>
      <c r="Z66" s="3">
        <v>1578</v>
      </c>
      <c r="AA66" s="3">
        <v>1692</v>
      </c>
      <c r="AB66" s="3">
        <v>1547</v>
      </c>
      <c r="AC66" s="3">
        <v>1797</v>
      </c>
      <c r="AD66" s="3">
        <v>1934</v>
      </c>
      <c r="AE66" s="3">
        <f>SUM(G66:J66)</f>
        <v>1899</v>
      </c>
      <c r="AF66" s="3">
        <v>1550</v>
      </c>
      <c r="AG66" s="3">
        <v>2315</v>
      </c>
    </row>
    <row r="67" spans="2:33" s="3" customFormat="1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2:33" s="3" customFormat="1" x14ac:dyDescent="0.2">
      <c r="B68" s="3" t="s">
        <v>77</v>
      </c>
      <c r="C68" s="4"/>
      <c r="D68" s="4"/>
      <c r="E68" s="4"/>
      <c r="F68" s="4"/>
      <c r="G68" s="4">
        <v>-44</v>
      </c>
      <c r="H68" s="4">
        <f>-87-G68</f>
        <v>-43</v>
      </c>
      <c r="I68" s="4">
        <f>-135-H68-G68</f>
        <v>-48</v>
      </c>
      <c r="J68" s="4">
        <f>-188-I68-H68-G68</f>
        <v>-53</v>
      </c>
      <c r="K68" s="4">
        <v>-59</v>
      </c>
      <c r="L68" s="4"/>
      <c r="M68" s="4"/>
      <c r="N68" s="4"/>
      <c r="O68" s="4"/>
      <c r="P68" s="4"/>
      <c r="Q68" s="4"/>
      <c r="R68" s="4">
        <v>-51</v>
      </c>
      <c r="S68" s="4">
        <v>-67</v>
      </c>
      <c r="T68" s="4"/>
      <c r="U68" s="4"/>
      <c r="V68" s="4"/>
      <c r="Y68" s="3">
        <v>-93</v>
      </c>
      <c r="Z68" s="3">
        <v>-123</v>
      </c>
      <c r="AA68" s="3">
        <v>-107</v>
      </c>
      <c r="AB68" s="3">
        <v>-119</v>
      </c>
      <c r="AC68" s="3">
        <v>-140</v>
      </c>
      <c r="AD68" s="3">
        <v>-124</v>
      </c>
      <c r="AE68" s="3">
        <f>SUM(G68:J68)</f>
        <v>-188</v>
      </c>
      <c r="AF68" s="3">
        <v>-207</v>
      </c>
      <c r="AG68" s="3">
        <v>-199</v>
      </c>
    </row>
    <row r="69" spans="2:33" s="3" customFormat="1" x14ac:dyDescent="0.2">
      <c r="B69" s="3" t="s">
        <v>78</v>
      </c>
      <c r="C69" s="4"/>
      <c r="D69" s="4"/>
      <c r="E69" s="4"/>
      <c r="F69" s="4"/>
      <c r="G69" s="4">
        <f>507-285</f>
        <v>222</v>
      </c>
      <c r="H69" s="4">
        <f>1128-369-G69</f>
        <v>537</v>
      </c>
      <c r="I69" s="4">
        <f>1193-438-H69-G69</f>
        <v>-4</v>
      </c>
      <c r="J69" s="4">
        <f>1329-554-I69-H69-G69</f>
        <v>20</v>
      </c>
      <c r="K69" s="4">
        <f>87-93</f>
        <v>-6</v>
      </c>
      <c r="L69" s="4"/>
      <c r="M69" s="4"/>
      <c r="N69" s="4"/>
      <c r="O69" s="4"/>
      <c r="P69" s="4"/>
      <c r="Q69" s="4"/>
      <c r="R69" s="4">
        <f>182-180</f>
        <v>2</v>
      </c>
      <c r="S69" s="4">
        <f>128-130</f>
        <v>-2</v>
      </c>
      <c r="T69" s="4"/>
      <c r="U69" s="4"/>
      <c r="V69" s="4"/>
    </row>
    <row r="70" spans="2:33" s="3" customFormat="1" x14ac:dyDescent="0.2">
      <c r="B70" s="3" t="s">
        <v>79</v>
      </c>
      <c r="C70" s="4"/>
      <c r="D70" s="4"/>
      <c r="E70" s="4"/>
      <c r="F70" s="4"/>
      <c r="G70" s="4">
        <v>-1989</v>
      </c>
      <c r="H70" s="4">
        <f>-3394-G70</f>
        <v>-1405</v>
      </c>
      <c r="I70" s="4">
        <f>-3391-H70-G70</f>
        <v>3</v>
      </c>
      <c r="J70" s="4">
        <f>-3391-I70-H70-G70</f>
        <v>0</v>
      </c>
      <c r="K70" s="4">
        <v>0</v>
      </c>
      <c r="L70" s="4"/>
      <c r="M70" s="4"/>
      <c r="N70" s="4"/>
      <c r="O70" s="4"/>
      <c r="P70" s="4"/>
      <c r="Q70" s="4"/>
      <c r="R70" s="4">
        <v>0</v>
      </c>
      <c r="S70" s="4">
        <v>0</v>
      </c>
      <c r="T70" s="4"/>
      <c r="U70" s="4"/>
      <c r="V70" s="4"/>
    </row>
    <row r="71" spans="2:33" s="3" customFormat="1" x14ac:dyDescent="0.2">
      <c r="B71" s="3" t="s">
        <v>80</v>
      </c>
      <c r="C71" s="4"/>
      <c r="D71" s="4"/>
      <c r="E71" s="4"/>
      <c r="F71" s="4"/>
      <c r="G71" s="4">
        <f>SUM(G68:G70)</f>
        <v>-1811</v>
      </c>
      <c r="H71" s="4">
        <f>SUM(H68:H70)</f>
        <v>-911</v>
      </c>
      <c r="I71" s="4">
        <f>SUM(I68:I70)</f>
        <v>-49</v>
      </c>
      <c r="J71" s="4">
        <f>SUM(J68:J70)</f>
        <v>-33</v>
      </c>
      <c r="K71" s="4">
        <f>SUM(K68:K70)</f>
        <v>-65</v>
      </c>
      <c r="L71" s="4"/>
      <c r="M71" s="4"/>
      <c r="N71" s="4"/>
      <c r="O71" s="4"/>
      <c r="P71" s="4"/>
      <c r="Q71" s="4"/>
      <c r="R71" s="4">
        <f>SUM(R68:R70)</f>
        <v>-49</v>
      </c>
      <c r="S71" s="4">
        <f>SUM(S68:S70)</f>
        <v>-69</v>
      </c>
      <c r="T71" s="4"/>
      <c r="U71" s="4"/>
      <c r="V71" s="4"/>
    </row>
    <row r="72" spans="2:33" s="3" customFormat="1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2:33" s="3" customFormat="1" x14ac:dyDescent="0.2">
      <c r="B73" s="3" t="s">
        <v>81</v>
      </c>
      <c r="C73" s="4"/>
      <c r="D73" s="4"/>
      <c r="E73" s="4"/>
      <c r="F73" s="4"/>
      <c r="G73" s="4">
        <v>-325</v>
      </c>
      <c r="H73" s="4">
        <f>41-650-G73</f>
        <v>-284</v>
      </c>
      <c r="I73" s="4">
        <f>44-975-H73-G73</f>
        <v>-322</v>
      </c>
      <c r="J73" s="4">
        <f>77-1300-I73-H73-G73</f>
        <v>-292</v>
      </c>
      <c r="K73" s="4">
        <f>1-320</f>
        <v>-319</v>
      </c>
      <c r="L73" s="4"/>
      <c r="M73" s="4"/>
      <c r="N73" s="4"/>
      <c r="O73" s="4"/>
      <c r="P73" s="4"/>
      <c r="Q73" s="4"/>
      <c r="R73" s="4">
        <f>-325+34</f>
        <v>-291</v>
      </c>
      <c r="S73" s="4">
        <v>-375</v>
      </c>
      <c r="T73" s="4"/>
      <c r="U73" s="4"/>
      <c r="V73" s="4"/>
    </row>
    <row r="74" spans="2:33" s="3" customFormat="1" x14ac:dyDescent="0.2">
      <c r="B74" s="3" t="s">
        <v>82</v>
      </c>
      <c r="C74" s="4"/>
      <c r="D74" s="4"/>
      <c r="E74" s="4"/>
      <c r="F74" s="4"/>
      <c r="G74" s="4">
        <v>-49</v>
      </c>
      <c r="H74" s="4">
        <f>-97-G74</f>
        <v>-48</v>
      </c>
      <c r="I74" s="4">
        <f>-145-H74-G74</f>
        <v>-48</v>
      </c>
      <c r="J74" s="4">
        <f>-193-I74-H74-G74</f>
        <v>-48</v>
      </c>
      <c r="K74" s="4">
        <v>-53</v>
      </c>
      <c r="L74" s="4"/>
      <c r="M74" s="4"/>
      <c r="N74" s="4"/>
      <c r="O74" s="4"/>
      <c r="P74" s="4"/>
      <c r="Q74" s="4"/>
      <c r="R74" s="4">
        <v>-51</v>
      </c>
      <c r="S74" s="4">
        <v>-50</v>
      </c>
      <c r="T74" s="4"/>
      <c r="U74" s="4"/>
      <c r="V74" s="4"/>
    </row>
    <row r="75" spans="2:33" s="3" customFormat="1" x14ac:dyDescent="0.2">
      <c r="B75" s="3" t="s">
        <v>83</v>
      </c>
      <c r="C75" s="4"/>
      <c r="D75" s="4"/>
      <c r="E75" s="4"/>
      <c r="F75" s="4"/>
      <c r="G75" s="4">
        <v>-105</v>
      </c>
      <c r="H75" s="4">
        <f>-121-G75</f>
        <v>-16</v>
      </c>
      <c r="I75" s="4">
        <f>-193-H75-G75</f>
        <v>-72</v>
      </c>
      <c r="J75" s="4">
        <f>-204-I75-H75-G75</f>
        <v>-11</v>
      </c>
      <c r="K75" s="4">
        <v>-104</v>
      </c>
      <c r="L75" s="4"/>
      <c r="M75" s="4"/>
      <c r="N75" s="4"/>
      <c r="O75" s="4"/>
      <c r="P75" s="4"/>
      <c r="Q75" s="4"/>
      <c r="R75" s="4">
        <v>-18</v>
      </c>
      <c r="S75" s="4">
        <v>-121</v>
      </c>
      <c r="T75" s="4"/>
      <c r="U75" s="4"/>
      <c r="V75" s="4"/>
    </row>
    <row r="76" spans="2:33" s="3" customFormat="1" x14ac:dyDescent="0.2">
      <c r="B76" s="3" t="s">
        <v>84</v>
      </c>
      <c r="C76" s="4"/>
      <c r="D76" s="4"/>
      <c r="E76" s="4"/>
      <c r="F76" s="4"/>
      <c r="G76" s="4">
        <f>SUM(G73:G75)</f>
        <v>-479</v>
      </c>
      <c r="H76" s="4">
        <f>SUM(H73:H75)</f>
        <v>-348</v>
      </c>
      <c r="I76" s="4">
        <f>SUM(I73:I75)</f>
        <v>-442</v>
      </c>
      <c r="J76" s="4">
        <f>SUM(J73:J75)</f>
        <v>-351</v>
      </c>
      <c r="K76" s="4">
        <f>SUM(K73:K75)</f>
        <v>-476</v>
      </c>
      <c r="L76" s="4"/>
      <c r="M76" s="4"/>
      <c r="N76" s="4"/>
      <c r="O76" s="4"/>
      <c r="P76" s="4"/>
      <c r="Q76" s="4"/>
      <c r="R76" s="4">
        <f>SUM(R73:R75)</f>
        <v>-360</v>
      </c>
      <c r="S76" s="4">
        <f>SUM(S73:S75)</f>
        <v>-546</v>
      </c>
      <c r="T76" s="4"/>
      <c r="U76" s="4"/>
      <c r="V76" s="4"/>
    </row>
    <row r="77" spans="2:33" x14ac:dyDescent="0.2">
      <c r="B77" s="3" t="s">
        <v>85</v>
      </c>
      <c r="G77" s="1">
        <v>11</v>
      </c>
      <c r="H77" s="1">
        <f>-2-G77</f>
        <v>-13</v>
      </c>
      <c r="I77" s="1">
        <f>-5-H77-G77</f>
        <v>-3</v>
      </c>
      <c r="J77" s="1">
        <f>-3-I77-H77-G77</f>
        <v>2</v>
      </c>
      <c r="K77" s="1">
        <v>-31</v>
      </c>
      <c r="R77" s="1">
        <v>-13</v>
      </c>
      <c r="S77" s="1">
        <v>-5</v>
      </c>
    </row>
    <row r="78" spans="2:33" x14ac:dyDescent="0.2">
      <c r="B78" s="3" t="s">
        <v>86</v>
      </c>
      <c r="G78" s="4">
        <f>+G77+G76+G71+G66</f>
        <v>-2422</v>
      </c>
      <c r="H78" s="4">
        <f>+H77+H76+H71+H66</f>
        <v>-1208</v>
      </c>
      <c r="I78" s="4">
        <f>+I77+I76+I71+I66</f>
        <v>1040</v>
      </c>
      <c r="J78" s="4">
        <f>+J77+J76+J71+J66</f>
        <v>62</v>
      </c>
      <c r="K78" s="4">
        <f>+K77+K76+K71+K66</f>
        <v>-650</v>
      </c>
      <c r="R78" s="4">
        <f>+R76+R77+R71+R66</f>
        <v>158</v>
      </c>
      <c r="S78" s="4">
        <f>+S76+S77+S71+S66</f>
        <v>-500</v>
      </c>
    </row>
    <row r="80" spans="2:33" x14ac:dyDescent="0.2">
      <c r="B80" s="3" t="s">
        <v>105</v>
      </c>
      <c r="Y80" s="3">
        <f t="shared" ref="Y80:AB80" si="76">+Y68+Y66</f>
        <v>1372</v>
      </c>
      <c r="Z80" s="3">
        <f t="shared" si="76"/>
        <v>1455</v>
      </c>
      <c r="AA80" s="3">
        <f t="shared" si="76"/>
        <v>1585</v>
      </c>
      <c r="AB80" s="3">
        <f t="shared" si="76"/>
        <v>1428</v>
      </c>
      <c r="AC80" s="3">
        <f>+AC68+AC66</f>
        <v>1657</v>
      </c>
      <c r="AD80" s="3">
        <f t="shared" ref="AD80:AG80" si="77">+AD68+AD66</f>
        <v>1810</v>
      </c>
      <c r="AE80" s="3">
        <f t="shared" si="77"/>
        <v>1711</v>
      </c>
      <c r="AF80" s="3">
        <f t="shared" si="77"/>
        <v>1343</v>
      </c>
      <c r="AG80" s="3">
        <f t="shared" si="77"/>
        <v>2116</v>
      </c>
    </row>
    <row r="81" spans="26:33" x14ac:dyDescent="0.2">
      <c r="Z81" s="8">
        <f>+Z80/Y80-1</f>
        <v>6.0495626822157478E-2</v>
      </c>
      <c r="AA81" s="8">
        <f t="shared" ref="AA81:AG81" si="78">+AA80/Z80-1</f>
        <v>8.9347079037800592E-2</v>
      </c>
      <c r="AB81" s="8">
        <f t="shared" si="78"/>
        <v>-9.9053627760252394E-2</v>
      </c>
      <c r="AC81" s="8">
        <f t="shared" si="78"/>
        <v>0.1603641456582634</v>
      </c>
      <c r="AD81" s="8">
        <f t="shared" si="78"/>
        <v>9.2335546167773064E-2</v>
      </c>
      <c r="AE81" s="8">
        <f t="shared" si="78"/>
        <v>-5.4696132596685043E-2</v>
      </c>
      <c r="AF81" s="8">
        <f t="shared" si="78"/>
        <v>-0.2150789012273524</v>
      </c>
      <c r="AG81" s="8">
        <f t="shared" si="78"/>
        <v>0.57557706626954586</v>
      </c>
    </row>
    <row r="82" spans="26:33" x14ac:dyDescent="0.2">
      <c r="AE82" s="8">
        <f>RATE(6,0,-Y80,AE80)</f>
        <v>3.7486966815271798E-2</v>
      </c>
      <c r="AF82" s="8">
        <f>RATE(6,0,-Z80,AF80)</f>
        <v>-1.3261281192802583E-2</v>
      </c>
      <c r="AG82" s="8">
        <f>RATE(8,0,-Y80,AG80)</f>
        <v>5.5650588141609739E-2</v>
      </c>
    </row>
  </sheetData>
  <phoneticPr fontId="3" type="noConversion"/>
  <hyperlinks>
    <hyperlink ref="A1" location="Main!A1" display="Main" xr:uid="{EA826243-0AF5-4545-AC7D-F947749FD211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2022-08-26T13:39:45Z</dcterms:created>
  <dcterms:modified xsi:type="dcterms:W3CDTF">2025-10-09T11:15:37Z</dcterms:modified>
</cp:coreProperties>
</file>