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72C9155-89B9-4FCC-BC1B-C7DE0C10B300}" xr6:coauthVersionLast="47" xr6:coauthVersionMax="47" xr10:uidLastSave="{00000000-0000-0000-0000-000000000000}"/>
  <bookViews>
    <workbookView xWindow="3630" yWindow="3630" windowWidth="18075" windowHeight="16020" xr2:uid="{799B0AFA-EAA4-4F11-AF17-CCE1B54644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2" l="1"/>
  <c r="R21" i="2"/>
  <c r="K6" i="1"/>
  <c r="K58" i="2"/>
  <c r="K59" i="2"/>
  <c r="K45" i="2"/>
  <c r="U62" i="2"/>
  <c r="T75" i="2"/>
  <c r="S75" i="2"/>
  <c r="R75" i="2"/>
  <c r="T62" i="2"/>
  <c r="S62" i="2"/>
  <c r="R62" i="2"/>
  <c r="R13" i="2"/>
  <c r="R11" i="2"/>
  <c r="R7" i="2"/>
  <c r="T15" i="2"/>
  <c r="S15" i="2"/>
  <c r="T10" i="2"/>
  <c r="S10" i="2"/>
  <c r="T9" i="2"/>
  <c r="S9" i="2"/>
  <c r="T8" i="2"/>
  <c r="T11" i="2" s="1"/>
  <c r="S8" i="2"/>
  <c r="S11" i="2" s="1"/>
  <c r="T6" i="2"/>
  <c r="S6" i="2"/>
  <c r="N9" i="2"/>
  <c r="M9" i="2"/>
  <c r="U9" i="2" s="1"/>
  <c r="N8" i="2"/>
  <c r="M8" i="2"/>
  <c r="U8" i="2" s="1"/>
  <c r="N10" i="2"/>
  <c r="M10" i="2"/>
  <c r="M18" i="2"/>
  <c r="N18" i="2" s="1"/>
  <c r="U18" i="2" s="1"/>
  <c r="H20" i="2"/>
  <c r="G20" i="2"/>
  <c r="C13" i="2"/>
  <c r="C11" i="2"/>
  <c r="C7" i="2"/>
  <c r="C21" i="2" s="1"/>
  <c r="S5" i="2"/>
  <c r="T5" i="2"/>
  <c r="N5" i="2"/>
  <c r="N20" i="2" s="1"/>
  <c r="M5" i="2"/>
  <c r="U5" i="2" s="1"/>
  <c r="S2" i="2"/>
  <c r="T2" i="2" s="1"/>
  <c r="U2" i="2" s="1"/>
  <c r="V2" i="2" s="1"/>
  <c r="D13" i="2"/>
  <c r="S13" i="2" s="1"/>
  <c r="D11" i="2"/>
  <c r="D7" i="2"/>
  <c r="D21" i="2" s="1"/>
  <c r="E13" i="2"/>
  <c r="E11" i="2"/>
  <c r="E7" i="2"/>
  <c r="E21" i="2" s="1"/>
  <c r="I13" i="2"/>
  <c r="M13" i="2" s="1"/>
  <c r="I20" i="2"/>
  <c r="I11" i="2"/>
  <c r="I7" i="2"/>
  <c r="I21" i="2" s="1"/>
  <c r="F13" i="2"/>
  <c r="F11" i="2"/>
  <c r="F7" i="2"/>
  <c r="J20" i="2"/>
  <c r="J13" i="2"/>
  <c r="J11" i="2"/>
  <c r="J7" i="2"/>
  <c r="J21" i="2" s="1"/>
  <c r="K20" i="2"/>
  <c r="L20" i="2"/>
  <c r="G13" i="2"/>
  <c r="T13" i="2" s="1"/>
  <c r="G11" i="2"/>
  <c r="G7" i="2"/>
  <c r="G21" i="2" s="1"/>
  <c r="K13" i="2"/>
  <c r="K11" i="2"/>
  <c r="K7" i="2"/>
  <c r="K21" i="2" s="1"/>
  <c r="L43" i="2"/>
  <c r="L39" i="2"/>
  <c r="L38" i="2"/>
  <c r="L30" i="2"/>
  <c r="L26" i="2"/>
  <c r="L23" i="2"/>
  <c r="L32" i="2" s="1"/>
  <c r="L65" i="2"/>
  <c r="L66" i="2"/>
  <c r="L61" i="2"/>
  <c r="L62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H13" i="2"/>
  <c r="L13" i="2"/>
  <c r="L11" i="2"/>
  <c r="L7" i="2"/>
  <c r="L21" i="2" s="1"/>
  <c r="H11" i="2"/>
  <c r="H7" i="2"/>
  <c r="H21" i="2" s="1"/>
  <c r="K7" i="1"/>
  <c r="K5" i="1"/>
  <c r="K4" i="1"/>
  <c r="K3" i="1"/>
  <c r="R12" i="2" l="1"/>
  <c r="R14" i="2" s="1"/>
  <c r="R16" i="2" s="1"/>
  <c r="R17" i="2" s="1"/>
  <c r="N11" i="2"/>
  <c r="T7" i="2"/>
  <c r="T21" i="2" s="1"/>
  <c r="S7" i="2"/>
  <c r="S21" i="2" s="1"/>
  <c r="T20" i="2"/>
  <c r="U20" i="2"/>
  <c r="N13" i="2"/>
  <c r="U13" i="2" s="1"/>
  <c r="M20" i="2"/>
  <c r="T12" i="2"/>
  <c r="T14" i="2" s="1"/>
  <c r="T16" i="2" s="1"/>
  <c r="T17" i="2" s="1"/>
  <c r="M7" i="2"/>
  <c r="M21" i="2" s="1"/>
  <c r="N7" i="2"/>
  <c r="N21" i="2" s="1"/>
  <c r="N6" i="2"/>
  <c r="S12" i="2"/>
  <c r="S14" i="2" s="1"/>
  <c r="S16" i="2" s="1"/>
  <c r="S17" i="2" s="1"/>
  <c r="M11" i="2"/>
  <c r="M12" i="2" s="1"/>
  <c r="M14" i="2" s="1"/>
  <c r="U10" i="2"/>
  <c r="U11" i="2" s="1"/>
  <c r="C12" i="2"/>
  <c r="C14" i="2" s="1"/>
  <c r="C16" i="2" s="1"/>
  <c r="C17" i="2" s="1"/>
  <c r="D12" i="2"/>
  <c r="D14" i="2" s="1"/>
  <c r="D16" i="2" s="1"/>
  <c r="D17" i="2" s="1"/>
  <c r="E12" i="2"/>
  <c r="E14" i="2" s="1"/>
  <c r="E16" i="2" s="1"/>
  <c r="E17" i="2" s="1"/>
  <c r="I12" i="2"/>
  <c r="I14" i="2" s="1"/>
  <c r="I16" i="2" s="1"/>
  <c r="I17" i="2" s="1"/>
  <c r="F12" i="2"/>
  <c r="F14" i="2" s="1"/>
  <c r="F16" i="2" s="1"/>
  <c r="F17" i="2" s="1"/>
  <c r="F21" i="2"/>
  <c r="J12" i="2"/>
  <c r="J14" i="2" s="1"/>
  <c r="J16" i="2" s="1"/>
  <c r="J17" i="2" s="1"/>
  <c r="H12" i="2"/>
  <c r="H14" i="2" s="1"/>
  <c r="H16" i="2" s="1"/>
  <c r="H17" i="2" s="1"/>
  <c r="G12" i="2"/>
  <c r="G14" i="2" s="1"/>
  <c r="G16" i="2" s="1"/>
  <c r="G17" i="2" s="1"/>
  <c r="K12" i="2"/>
  <c r="K14" i="2" s="1"/>
  <c r="K16" i="2" s="1"/>
  <c r="K17" i="2" s="1"/>
  <c r="L67" i="2"/>
  <c r="L59" i="2"/>
  <c r="U59" i="2" s="1"/>
  <c r="U75" i="2" s="1"/>
  <c r="L63" i="2"/>
  <c r="L12" i="2"/>
  <c r="L14" i="2" s="1"/>
  <c r="L16" i="2" s="1"/>
  <c r="M15" i="2" l="1"/>
  <c r="M16" i="2"/>
  <c r="M17" i="2" s="1"/>
  <c r="M6" i="2"/>
  <c r="U6" i="2"/>
  <c r="U7" i="2" s="1"/>
  <c r="U21" i="2" s="1"/>
  <c r="N12" i="2"/>
  <c r="N14" i="2" s="1"/>
  <c r="L70" i="2"/>
  <c r="L17" i="2"/>
  <c r="L45" i="2"/>
  <c r="N15" i="2" l="1"/>
  <c r="U15" i="2" s="1"/>
  <c r="U12" i="2"/>
  <c r="U14" i="2" s="1"/>
  <c r="U16" i="2" l="1"/>
  <c r="U17" i="2" s="1"/>
  <c r="N16" i="2"/>
  <c r="N17" i="2" s="1"/>
</calcChain>
</file>

<file path=xl/sharedStrings.xml><?xml version="1.0" encoding="utf-8"?>
<sst xmlns="http://schemas.openxmlformats.org/spreadsheetml/2006/main" count="82" uniqueCount="70">
  <si>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</si>
  <si>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</si>
  <si>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</si>
  <si>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</si>
  <si>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</si>
  <si>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</si>
  <si>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</si>
  <si>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</si>
  <si>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</si>
  <si>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COGS</t>
  </si>
  <si>
    <t>Gross Profit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</si>
  <si>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</si>
  <si>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</si>
  <si>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</si>
  <si>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</si>
  <si>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</si>
  <si>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</si>
  <si>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</si>
  <si>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</si>
  <si>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</si>
  <si>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</si>
  <si>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</si>
  <si>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PD</t>
  </si>
  <si>
    <t>S&amp;M</t>
  </si>
  <si>
    <t>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</si>
  <si>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</si>
  <si>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</si>
  <si>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</si>
  <si>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</si>
  <si>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</si>
  <si>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</si>
  <si>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</si>
  <si>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CIC</t>
  </si>
  <si>
    <t>FX</t>
  </si>
  <si>
    <t>CFFF</t>
  </si>
  <si>
    <t>Buybacks</t>
  </si>
  <si>
    <t>ESOP Taxes</t>
  </si>
  <si>
    <t>CFFI</t>
  </si>
  <si>
    <t>Investments</t>
  </si>
  <si>
    <t>PP&amp;E/Software</t>
  </si>
  <si>
    <t>CFFO</t>
  </si>
  <si>
    <t>Model NI</t>
  </si>
  <si>
    <t>Reported NI</t>
  </si>
  <si>
    <t>D&amp;A</t>
  </si>
  <si>
    <t>SBC</t>
  </si>
  <si>
    <t>Amortization of Debt</t>
  </si>
  <si>
    <t xml:space="preserve">Accretion </t>
  </si>
  <si>
    <t>Lease</t>
  </si>
  <si>
    <t>Creator</t>
  </si>
  <si>
    <t>Creator Signing Fees</t>
  </si>
  <si>
    <t>Creator Advances</t>
  </si>
  <si>
    <t>Chargebacks</t>
  </si>
  <si>
    <t>Gain on litigation settlement</t>
  </si>
  <si>
    <t>Other</t>
  </si>
  <si>
    <t>WC</t>
  </si>
  <si>
    <t>Assets</t>
  </si>
  <si>
    <t>Goodwill</t>
  </si>
  <si>
    <t>PP&amp;E</t>
  </si>
  <si>
    <t>AR</t>
  </si>
  <si>
    <t>Funds Receivable</t>
  </si>
  <si>
    <t>Prepaids</t>
  </si>
  <si>
    <t>AP, Creators</t>
  </si>
  <si>
    <t>L+SE</t>
  </si>
  <si>
    <t>SE</t>
  </si>
  <si>
    <t>AP</t>
  </si>
  <si>
    <t>Compensation</t>
  </si>
  <si>
    <t>OL</t>
  </si>
  <si>
    <t>Revenue y/y</t>
  </si>
  <si>
    <t>Gross Margin</t>
  </si>
  <si>
    <t>Paid Ticket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</si>
</sst>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B194695-10DB-4602-B428-A5BC3B2634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30079</xdr:colOff>
      <xdr:row>0</xdr:row>
      <xdr:rowOff>20053</xdr:rowOff>
    </xdr:from>
    <xdr:to>
      <xdr:col>12</xdr:col>
      <xdr:colOff>30079</xdr:colOff>
      <xdr:row>73</xdr:row>
      <xdr:rowOff>130343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C67758-6345-CB46-D4DD-F4BA52B66B67}"/>
            </a:ext>
          </a:extLst>
        </xdr:cNvPr>
        <xdr:cNvCxnSpPr/>
      </xdr:nvCxnSpPr>
      <xdr:spPr>
        <a:xfrm>
          <a:off x="7690184" y="20053"/>
          <a:ext cx="0" cy="76500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4391-CB02-4500-8038-DAB73576B9A2}">
  <dimension ref="J2:L7"/>
  <sheetViews>
    <sheetView tabSelected="1"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2.8</v>
      </c>
    </row>
    <row r="3" spans="10:12" x14ac:dyDescent="0.2">
      <c r="J3" t="s">
        <v>1</v>
      </c>
      <c r="K3" s="2">
        <f>80.452711+15.648429</f>
        <v>96.101139999999987</v>
      </c>
      <c r="L3" s="3" t="s">
        <v>6</v>
      </c>
    </row>
    <row r="4" spans="10:12" x14ac:dyDescent="0.2">
      <c r="J4" t="s">
        <v>2</v>
      </c>
      <c r="K4" s="2">
        <f>+K2*K3</f>
        <v>269.08319199999994</v>
      </c>
    </row>
    <row r="5" spans="10:12" x14ac:dyDescent="0.2">
      <c r="J5" t="s">
        <v>3</v>
      </c>
      <c r="K5" s="2">
        <f>575.499+56.698</f>
        <v>632.197</v>
      </c>
      <c r="L5" s="3" t="s">
        <v>6</v>
      </c>
    </row>
    <row r="6" spans="10:12" x14ac:dyDescent="0.2">
      <c r="J6" t="s">
        <v>4</v>
      </c>
      <c r="K6" s="2">
        <f>358.725+315</f>
        <v>673.72500000000002</v>
      </c>
      <c r="L6" s="3" t="s">
        <v>6</v>
      </c>
    </row>
    <row r="7" spans="10:12" x14ac:dyDescent="0.2">
      <c r="J7" t="s">
        <v>5</v>
      </c>
      <c r="K7" s="2">
        <f>+K4-K5+K6</f>
        <v>310.61119199999996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0F55-D556-4BBD-BEDA-AB855F2C70D7}">
  <dimension ref="A1:V75"/>
  <sheetViews>
    <sheetView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H53" sqref="AH53"/>
    </sheetView>
  </sheetViews>
  <sheetFormatPr defaultRowHeight="12.75" x14ac:dyDescent="0.2"/>
  <cols>
    <col min="1" max="1" width="5" bestFit="1" customWidth="1"/>
    <col min="2" max="2" width="26" customWidth="1"/>
    <col min="3" max="14" width="9.140625" style="3"/>
  </cols>
  <sheetData>
    <row r="1" spans="1:22" x14ac:dyDescent="0.2">
      <c r="A1" s="6" t="s">
        <v>7</v>
      </c>
    </row>
    <row r="2" spans="1:22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6</v>
      </c>
      <c r="M2" s="3" t="s">
        <v>20</v>
      </c>
      <c r="N2" s="3" t="s">
        <v>21</v>
      </c>
      <c r="Q2">
        <v>2020</v>
      </c>
      <c r="R2">
        <v>2021</v>
      </c>
      <c r="S2">
        <f>+R2+1</f>
        <v>2022</v>
      </c>
      <c r="T2">
        <f>+S2+1</f>
        <v>2023</v>
      </c>
      <c r="U2">
        <f>+T2+1</f>
        <v>2024</v>
      </c>
      <c r="V2">
        <f>+U2+1</f>
        <v>2025</v>
      </c>
    </row>
    <row r="3" spans="1:22" s="2" customFormat="1" x14ac:dyDescent="0.2">
      <c r="B3" s="2" t="s">
        <v>69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S3" s="2">
        <v>67427</v>
      </c>
      <c r="T3" s="2">
        <v>87056</v>
      </c>
      <c r="U3" s="2">
        <v>93443</v>
      </c>
    </row>
    <row r="5" spans="1:22" s="8" customFormat="1" x14ac:dyDescent="0.2">
      <c r="B5" s="8" t="s">
        <v>8</v>
      </c>
      <c r="C5" s="9">
        <v>55875</v>
      </c>
      <c r="D5" s="9">
        <v>66041</v>
      </c>
      <c r="E5" s="9">
        <v>67472</v>
      </c>
      <c r="F5" s="9">
        <v>71539</v>
      </c>
      <c r="G5" s="9">
        <v>77914</v>
      </c>
      <c r="H5" s="9">
        <v>78912</v>
      </c>
      <c r="I5" s="9">
        <v>81544</v>
      </c>
      <c r="J5" s="9">
        <v>87764</v>
      </c>
      <c r="K5" s="9">
        <v>86252</v>
      </c>
      <c r="L5" s="9">
        <v>84551</v>
      </c>
      <c r="M5" s="9">
        <f>+I5*1.1</f>
        <v>89698.400000000009</v>
      </c>
      <c r="N5" s="9">
        <f>+J5*1.1</f>
        <v>96540.400000000009</v>
      </c>
      <c r="R5" s="8">
        <v>187134</v>
      </c>
      <c r="S5" s="8">
        <f>SUM(C5:F5)</f>
        <v>260927</v>
      </c>
      <c r="T5" s="8">
        <f>SUM(G5:J5)</f>
        <v>326134</v>
      </c>
      <c r="U5" s="8">
        <f>SUM(K5:N5)</f>
        <v>357041.80000000005</v>
      </c>
    </row>
    <row r="6" spans="1:22" s="2" customFormat="1" x14ac:dyDescent="0.2">
      <c r="B6" s="2" t="s">
        <v>9</v>
      </c>
      <c r="C6" s="5">
        <v>19973</v>
      </c>
      <c r="D6" s="5">
        <v>23042</v>
      </c>
      <c r="E6" s="5">
        <v>23450</v>
      </c>
      <c r="F6" s="5">
        <v>24281</v>
      </c>
      <c r="G6" s="5">
        <v>26395</v>
      </c>
      <c r="H6" s="5">
        <v>24603</v>
      </c>
      <c r="I6" s="5">
        <v>25867</v>
      </c>
      <c r="J6" s="5">
        <v>26265</v>
      </c>
      <c r="K6" s="5">
        <v>25032</v>
      </c>
      <c r="L6" s="5">
        <v>24611</v>
      </c>
      <c r="M6" s="5">
        <f>+M5-M7</f>
        <v>26012.536000000007</v>
      </c>
      <c r="N6" s="5">
        <f>+N5-N7</f>
        <v>27996.716</v>
      </c>
      <c r="R6" s="2">
        <v>70294</v>
      </c>
      <c r="S6" s="2">
        <f>SUM(C6:F6)</f>
        <v>90746</v>
      </c>
      <c r="T6" s="2">
        <f>SUM(G6:J6)</f>
        <v>103130</v>
      </c>
      <c r="U6" s="2">
        <f>SUM(K6:N6)</f>
        <v>103652.25200000001</v>
      </c>
    </row>
    <row r="7" spans="1:22" s="2" customFormat="1" x14ac:dyDescent="0.2">
      <c r="B7" s="2" t="s">
        <v>10</v>
      </c>
      <c r="C7" s="5">
        <f t="shared" ref="C7:L7" si="0">+C5-C6</f>
        <v>35902</v>
      </c>
      <c r="D7" s="5">
        <f t="shared" si="0"/>
        <v>42999</v>
      </c>
      <c r="E7" s="5">
        <f t="shared" si="0"/>
        <v>44022</v>
      </c>
      <c r="F7" s="5">
        <f t="shared" si="0"/>
        <v>47258</v>
      </c>
      <c r="G7" s="5">
        <f t="shared" si="0"/>
        <v>51519</v>
      </c>
      <c r="H7" s="5">
        <f t="shared" si="0"/>
        <v>54309</v>
      </c>
      <c r="I7" s="5">
        <f t="shared" si="0"/>
        <v>55677</v>
      </c>
      <c r="J7" s="5">
        <f t="shared" si="0"/>
        <v>61499</v>
      </c>
      <c r="K7" s="5">
        <f t="shared" si="0"/>
        <v>61220</v>
      </c>
      <c r="L7" s="5">
        <f t="shared" si="0"/>
        <v>59940</v>
      </c>
      <c r="M7" s="5">
        <f>+M5*0.71</f>
        <v>63685.864000000001</v>
      </c>
      <c r="N7" s="5">
        <f>+N5*0.71</f>
        <v>68543.684000000008</v>
      </c>
      <c r="R7" s="2">
        <f>+R5-R6</f>
        <v>116840</v>
      </c>
      <c r="S7" s="2">
        <f>+S5-S6</f>
        <v>170181</v>
      </c>
      <c r="T7" s="2">
        <f>+T5-T6</f>
        <v>223004</v>
      </c>
      <c r="U7" s="2">
        <f>+U5-U6</f>
        <v>253389.54800000004</v>
      </c>
    </row>
    <row r="8" spans="1:22" s="2" customFormat="1" x14ac:dyDescent="0.2">
      <c r="B8" s="2" t="s">
        <v>22</v>
      </c>
      <c r="C8" s="5">
        <v>18518</v>
      </c>
      <c r="D8" s="5">
        <v>22541</v>
      </c>
      <c r="E8" s="5">
        <v>22249</v>
      </c>
      <c r="F8" s="5">
        <v>23038</v>
      </c>
      <c r="G8" s="5">
        <v>26564</v>
      </c>
      <c r="H8" s="5">
        <v>23486</v>
      </c>
      <c r="I8" s="5">
        <v>23041</v>
      </c>
      <c r="J8" s="5">
        <v>25203</v>
      </c>
      <c r="K8" s="5">
        <v>26684</v>
      </c>
      <c r="L8" s="5">
        <v>26057</v>
      </c>
      <c r="M8" s="5">
        <f t="shared" ref="M8:M9" si="1">+I8</f>
        <v>23041</v>
      </c>
      <c r="N8" s="5">
        <f t="shared" ref="N8:N9" si="2">+J8</f>
        <v>25203</v>
      </c>
      <c r="R8" s="2">
        <v>66303</v>
      </c>
      <c r="S8" s="2">
        <f>SUM(C8:F8)</f>
        <v>86346</v>
      </c>
      <c r="T8" s="2">
        <f>SUM(G8:J8)</f>
        <v>98294</v>
      </c>
      <c r="U8" s="2">
        <f>SUM(K8:N8)</f>
        <v>100985</v>
      </c>
    </row>
    <row r="9" spans="1:22" s="2" customFormat="1" x14ac:dyDescent="0.2">
      <c r="B9" s="2" t="s">
        <v>23</v>
      </c>
      <c r="C9" s="5">
        <v>13148</v>
      </c>
      <c r="D9" s="5">
        <v>14263</v>
      </c>
      <c r="E9" s="5">
        <v>14455</v>
      </c>
      <c r="F9" s="5">
        <v>7426</v>
      </c>
      <c r="G9" s="5">
        <v>17060</v>
      </c>
      <c r="H9" s="5">
        <v>15679</v>
      </c>
      <c r="I9" s="5">
        <v>21063</v>
      </c>
      <c r="J9" s="5">
        <v>20772</v>
      </c>
      <c r="K9" s="5">
        <v>20869</v>
      </c>
      <c r="L9" s="5">
        <v>24521</v>
      </c>
      <c r="M9" s="5">
        <f t="shared" si="1"/>
        <v>21063</v>
      </c>
      <c r="N9" s="5">
        <f t="shared" si="2"/>
        <v>20772</v>
      </c>
      <c r="R9" s="2">
        <v>35916</v>
      </c>
      <c r="S9" s="2">
        <f>SUM(C9:F9)</f>
        <v>49292</v>
      </c>
      <c r="T9" s="2">
        <f>SUM(G9:J9)</f>
        <v>74574</v>
      </c>
      <c r="U9" s="2">
        <f>SUM(K9:N9)</f>
        <v>87225</v>
      </c>
    </row>
    <row r="10" spans="1:22" s="2" customFormat="1" x14ac:dyDescent="0.2">
      <c r="B10" s="2" t="s">
        <v>24</v>
      </c>
      <c r="C10" s="5">
        <v>18817</v>
      </c>
      <c r="D10" s="5">
        <v>19495</v>
      </c>
      <c r="E10" s="5">
        <v>20596</v>
      </c>
      <c r="F10" s="5">
        <v>22377</v>
      </c>
      <c r="G10" s="5">
        <v>21718</v>
      </c>
      <c r="H10" s="5">
        <v>21826</v>
      </c>
      <c r="I10" s="5">
        <v>23137</v>
      </c>
      <c r="J10" s="5">
        <v>24588</v>
      </c>
      <c r="K10" s="5">
        <v>21237</v>
      </c>
      <c r="L10" s="5">
        <v>15816</v>
      </c>
      <c r="M10" s="5">
        <f>+I10</f>
        <v>23137</v>
      </c>
      <c r="N10" s="5">
        <f>+J10</f>
        <v>24588</v>
      </c>
      <c r="R10" s="2">
        <v>82399</v>
      </c>
      <c r="S10" s="2">
        <f>SUM(C10:F10)</f>
        <v>81285</v>
      </c>
      <c r="T10" s="2">
        <f>SUM(G10:J10)</f>
        <v>91269</v>
      </c>
      <c r="U10" s="2">
        <f>SUM(K10:N10)</f>
        <v>84778</v>
      </c>
    </row>
    <row r="11" spans="1:22" s="2" customFormat="1" x14ac:dyDescent="0.2">
      <c r="B11" s="2" t="s">
        <v>25</v>
      </c>
      <c r="C11" s="5">
        <f t="shared" ref="C11:L11" si="3">+C8+C9+C10</f>
        <v>50483</v>
      </c>
      <c r="D11" s="5">
        <f t="shared" si="3"/>
        <v>56299</v>
      </c>
      <c r="E11" s="5">
        <f t="shared" si="3"/>
        <v>57300</v>
      </c>
      <c r="F11" s="5">
        <f t="shared" si="3"/>
        <v>52841</v>
      </c>
      <c r="G11" s="5">
        <f t="shared" si="3"/>
        <v>65342</v>
      </c>
      <c r="H11" s="5">
        <f t="shared" si="3"/>
        <v>60991</v>
      </c>
      <c r="I11" s="5">
        <f t="shared" si="3"/>
        <v>67241</v>
      </c>
      <c r="J11" s="5">
        <f t="shared" si="3"/>
        <v>70563</v>
      </c>
      <c r="K11" s="5">
        <f t="shared" si="3"/>
        <v>68790</v>
      </c>
      <c r="L11" s="5">
        <f t="shared" si="3"/>
        <v>66394</v>
      </c>
      <c r="M11" s="5">
        <f t="shared" ref="M11:N11" si="4">+M8+M9+M10</f>
        <v>67241</v>
      </c>
      <c r="N11" s="5">
        <f t="shared" si="4"/>
        <v>70563</v>
      </c>
      <c r="R11" s="5">
        <f t="shared" ref="R11:U11" si="5">+R8+R9+R10</f>
        <v>184618</v>
      </c>
      <c r="S11" s="5">
        <f t="shared" si="5"/>
        <v>216923</v>
      </c>
      <c r="T11" s="5">
        <f t="shared" si="5"/>
        <v>264137</v>
      </c>
      <c r="U11" s="5">
        <f t="shared" si="5"/>
        <v>272988</v>
      </c>
    </row>
    <row r="12" spans="1:22" s="2" customFormat="1" x14ac:dyDescent="0.2">
      <c r="B12" s="2" t="s">
        <v>26</v>
      </c>
      <c r="C12" s="5">
        <f t="shared" ref="C12:L12" si="6">+C7-C11</f>
        <v>-14581</v>
      </c>
      <c r="D12" s="5">
        <f t="shared" si="6"/>
        <v>-13300</v>
      </c>
      <c r="E12" s="5">
        <f t="shared" si="6"/>
        <v>-13278</v>
      </c>
      <c r="F12" s="5">
        <f t="shared" si="6"/>
        <v>-5583</v>
      </c>
      <c r="G12" s="5">
        <f t="shared" si="6"/>
        <v>-13823</v>
      </c>
      <c r="H12" s="5">
        <f t="shared" si="6"/>
        <v>-6682</v>
      </c>
      <c r="I12" s="5">
        <f t="shared" si="6"/>
        <v>-11564</v>
      </c>
      <c r="J12" s="5">
        <f t="shared" si="6"/>
        <v>-9064</v>
      </c>
      <c r="K12" s="5">
        <f t="shared" si="6"/>
        <v>-7570</v>
      </c>
      <c r="L12" s="5">
        <f t="shared" si="6"/>
        <v>-6454</v>
      </c>
      <c r="M12" s="5">
        <f t="shared" ref="M12:N12" si="7">+M7-M11</f>
        <v>-3555.1359999999986</v>
      </c>
      <c r="N12" s="5">
        <f t="shared" si="7"/>
        <v>-2019.3159999999916</v>
      </c>
      <c r="R12" s="5">
        <f t="shared" ref="R12:U12" si="8">+R7-R11</f>
        <v>-67778</v>
      </c>
      <c r="S12" s="5">
        <f t="shared" si="8"/>
        <v>-46742</v>
      </c>
      <c r="T12" s="5">
        <f t="shared" si="8"/>
        <v>-41133</v>
      </c>
      <c r="U12" s="5">
        <f t="shared" si="8"/>
        <v>-19598.451999999961</v>
      </c>
    </row>
    <row r="13" spans="1:22" s="2" customFormat="1" x14ac:dyDescent="0.2">
      <c r="B13" s="2" t="s">
        <v>27</v>
      </c>
      <c r="C13" s="5">
        <f>-2798-603</f>
        <v>-3401</v>
      </c>
      <c r="D13" s="5">
        <f>440-2837-4555</f>
        <v>-6952</v>
      </c>
      <c r="E13" s="5">
        <f>1950-2826-7050</f>
        <v>-7926</v>
      </c>
      <c r="F13" s="5">
        <f>4025-2808+8546</f>
        <v>9763</v>
      </c>
      <c r="G13" s="5">
        <f>5453-2752-953</f>
        <v>1748</v>
      </c>
      <c r="H13" s="5">
        <f>6926-2786+80</f>
        <v>4220</v>
      </c>
      <c r="I13" s="5">
        <f>7569-2821-2357</f>
        <v>2391</v>
      </c>
      <c r="J13" s="5">
        <f>7547-2826+3565</f>
        <v>8286</v>
      </c>
      <c r="K13" s="5">
        <f>7407-2800+1253</f>
        <v>5860</v>
      </c>
      <c r="L13" s="5">
        <f>7382-2806+3725</f>
        <v>8301</v>
      </c>
      <c r="M13" s="5">
        <f>AVERAGE(I13:L13)</f>
        <v>6209.5</v>
      </c>
      <c r="N13" s="5">
        <f>AVERAGE(J13:M13)</f>
        <v>7164.125</v>
      </c>
      <c r="R13" s="2">
        <f>60-16267-3690</f>
        <v>-19897</v>
      </c>
      <c r="S13" s="2">
        <f>SUM(C13:F13)</f>
        <v>-8516</v>
      </c>
      <c r="T13" s="2">
        <f>SUM(G13:J13)</f>
        <v>16645</v>
      </c>
      <c r="U13" s="2">
        <f>SUM(K13:N13)</f>
        <v>27534.625</v>
      </c>
    </row>
    <row r="14" spans="1:22" s="2" customFormat="1" x14ac:dyDescent="0.2">
      <c r="B14" s="2" t="s">
        <v>28</v>
      </c>
      <c r="C14" s="5">
        <f t="shared" ref="C14:L14" si="9">+C12+C13</f>
        <v>-17982</v>
      </c>
      <c r="D14" s="5">
        <f t="shared" si="9"/>
        <v>-20252</v>
      </c>
      <c r="E14" s="5">
        <f t="shared" si="9"/>
        <v>-21204</v>
      </c>
      <c r="F14" s="5">
        <f t="shared" si="9"/>
        <v>4180</v>
      </c>
      <c r="G14" s="5">
        <f t="shared" si="9"/>
        <v>-12075</v>
      </c>
      <c r="H14" s="5">
        <f t="shared" si="9"/>
        <v>-2462</v>
      </c>
      <c r="I14" s="5">
        <f t="shared" si="9"/>
        <v>-9173</v>
      </c>
      <c r="J14" s="5">
        <f t="shared" si="9"/>
        <v>-778</v>
      </c>
      <c r="K14" s="5">
        <f t="shared" si="9"/>
        <v>-1710</v>
      </c>
      <c r="L14" s="5">
        <f t="shared" si="9"/>
        <v>1847</v>
      </c>
      <c r="M14" s="5">
        <f t="shared" ref="M14:N14" si="10">+M12+M13</f>
        <v>2654.3640000000014</v>
      </c>
      <c r="N14" s="5">
        <f t="shared" si="10"/>
        <v>5144.8090000000084</v>
      </c>
      <c r="R14" s="5">
        <f t="shared" ref="R14:S14" si="11">+R12+R13</f>
        <v>-87675</v>
      </c>
      <c r="S14" s="5">
        <f t="shared" si="11"/>
        <v>-55258</v>
      </c>
      <c r="T14" s="5">
        <f t="shared" ref="T14" si="12">+T12+T13</f>
        <v>-24488</v>
      </c>
      <c r="U14" s="5">
        <f t="shared" ref="U14" si="13">+U12+U13</f>
        <v>7936.1730000000389</v>
      </c>
    </row>
    <row r="15" spans="1:22" s="2" customFormat="1" x14ac:dyDescent="0.2">
      <c r="B15" s="2" t="s">
        <v>29</v>
      </c>
      <c r="C15" s="5">
        <v>203</v>
      </c>
      <c r="D15" s="5">
        <v>-164</v>
      </c>
      <c r="E15" s="5">
        <v>-80</v>
      </c>
      <c r="F15" s="5">
        <v>167</v>
      </c>
      <c r="G15" s="5">
        <v>611</v>
      </c>
      <c r="H15" s="5">
        <v>459</v>
      </c>
      <c r="I15" s="5">
        <v>762</v>
      </c>
      <c r="J15" s="5">
        <v>159</v>
      </c>
      <c r="K15" s="5">
        <v>274</v>
      </c>
      <c r="L15" s="5">
        <v>784</v>
      </c>
      <c r="M15" s="5">
        <f>+M14*0.1</f>
        <v>265.43640000000016</v>
      </c>
      <c r="N15" s="5">
        <f>+N14*0.1</f>
        <v>514.48090000000082</v>
      </c>
      <c r="R15" s="2">
        <v>1428</v>
      </c>
      <c r="S15" s="2">
        <f>SUM(C15:F15)</f>
        <v>126</v>
      </c>
      <c r="T15" s="2">
        <f>SUM(G15:J15)</f>
        <v>1991</v>
      </c>
      <c r="U15" s="2">
        <f>SUM(K15:N15)</f>
        <v>1837.917300000001</v>
      </c>
    </row>
    <row r="16" spans="1:22" s="2" customFormat="1" x14ac:dyDescent="0.2">
      <c r="B16" s="2" t="s">
        <v>30</v>
      </c>
      <c r="C16" s="5">
        <f t="shared" ref="C16:L16" si="14">+C14-C15</f>
        <v>-18185</v>
      </c>
      <c r="D16" s="5">
        <f t="shared" si="14"/>
        <v>-20088</v>
      </c>
      <c r="E16" s="5">
        <f t="shared" si="14"/>
        <v>-21124</v>
      </c>
      <c r="F16" s="5">
        <f t="shared" si="14"/>
        <v>4013</v>
      </c>
      <c r="G16" s="5">
        <f t="shared" si="14"/>
        <v>-12686</v>
      </c>
      <c r="H16" s="5">
        <f t="shared" si="14"/>
        <v>-2921</v>
      </c>
      <c r="I16" s="5">
        <f t="shared" si="14"/>
        <v>-9935</v>
      </c>
      <c r="J16" s="5">
        <f t="shared" si="14"/>
        <v>-937</v>
      </c>
      <c r="K16" s="5">
        <f t="shared" si="14"/>
        <v>-1984</v>
      </c>
      <c r="L16" s="5">
        <f t="shared" si="14"/>
        <v>1063</v>
      </c>
      <c r="M16" s="5">
        <f t="shared" ref="M16:N16" si="15">+M14-M15</f>
        <v>2388.9276000000013</v>
      </c>
      <c r="N16" s="5">
        <f t="shared" si="15"/>
        <v>4630.3281000000079</v>
      </c>
      <c r="R16" s="5">
        <f t="shared" ref="R16:S16" si="16">+R14-R15</f>
        <v>-89103</v>
      </c>
      <c r="S16" s="5">
        <f t="shared" si="16"/>
        <v>-55384</v>
      </c>
      <c r="T16" s="5">
        <f t="shared" ref="T16" si="17">+T14-T15</f>
        <v>-26479</v>
      </c>
      <c r="U16" s="5">
        <f t="shared" ref="U16" si="18">+U14-U15</f>
        <v>6098.2557000000379</v>
      </c>
    </row>
    <row r="17" spans="2:21" x14ac:dyDescent="0.2">
      <c r="B17" s="2" t="s">
        <v>31</v>
      </c>
      <c r="C17" s="4">
        <f t="shared" ref="C17:N17" si="19">+C16/C18</f>
        <v>-0.18640957828484736</v>
      </c>
      <c r="D17" s="4">
        <f t="shared" si="19"/>
        <v>-0.2049482222108861</v>
      </c>
      <c r="E17" s="4">
        <f t="shared" si="19"/>
        <v>-0.22109416702427179</v>
      </c>
      <c r="F17" s="4">
        <f t="shared" si="19"/>
        <v>4.0553377258579569E-2</v>
      </c>
      <c r="G17" s="4">
        <f t="shared" si="19"/>
        <v>-0.12749364340773645</v>
      </c>
      <c r="H17" s="4">
        <f t="shared" si="19"/>
        <v>-2.921146057302865E-2</v>
      </c>
      <c r="I17" s="4">
        <f t="shared" si="19"/>
        <v>-9.8816391485975735E-2</v>
      </c>
      <c r="J17" s="4">
        <f t="shared" si="19"/>
        <v>-9.2683264587475403E-3</v>
      </c>
      <c r="K17" s="4">
        <f t="shared" si="19"/>
        <v>-2.0018363619852889E-2</v>
      </c>
      <c r="L17" s="4">
        <f t="shared" si="19"/>
        <v>1.1039567971751998E-2</v>
      </c>
      <c r="M17" s="4">
        <f t="shared" si="19"/>
        <v>2.4809716481462265E-2</v>
      </c>
      <c r="N17" s="4">
        <f t="shared" si="19"/>
        <v>4.8087320594038925E-2</v>
      </c>
      <c r="R17" s="1">
        <f>+R16/R18</f>
        <v>-0.94485859410623207</v>
      </c>
      <c r="S17" s="1">
        <f>+S16/S18</f>
        <v>-0.5633894511978027</v>
      </c>
      <c r="T17" s="1">
        <f>+T16/T18</f>
        <v>-0.26400063809210461</v>
      </c>
      <c r="U17" s="1">
        <f>+U16/U18</f>
        <v>6.2872018330889429E-2</v>
      </c>
    </row>
    <row r="18" spans="2:21" s="2" customFormat="1" x14ac:dyDescent="0.2">
      <c r="B18" s="2" t="s">
        <v>1</v>
      </c>
      <c r="C18" s="5">
        <v>97554</v>
      </c>
      <c r="D18" s="5">
        <v>98015</v>
      </c>
      <c r="E18" s="5">
        <v>95543</v>
      </c>
      <c r="F18" s="5">
        <v>98956</v>
      </c>
      <c r="G18" s="5">
        <v>99503</v>
      </c>
      <c r="H18" s="5">
        <v>99995</v>
      </c>
      <c r="I18" s="5">
        <v>100540</v>
      </c>
      <c r="J18" s="5">
        <v>101097</v>
      </c>
      <c r="K18" s="5">
        <v>99109</v>
      </c>
      <c r="L18" s="5">
        <v>96290</v>
      </c>
      <c r="M18" s="5">
        <f>+L18</f>
        <v>96290</v>
      </c>
      <c r="N18" s="5">
        <f>+M18</f>
        <v>96290</v>
      </c>
      <c r="R18" s="2">
        <v>94303</v>
      </c>
      <c r="S18" s="2">
        <v>98305</v>
      </c>
      <c r="T18" s="2">
        <v>100299</v>
      </c>
      <c r="U18" s="2">
        <f>AVERAGE(K18:N18)</f>
        <v>96994.75</v>
      </c>
    </row>
    <row r="20" spans="2:21" x14ac:dyDescent="0.2">
      <c r="B20" s="2" t="s">
        <v>67</v>
      </c>
      <c r="G20" s="7">
        <f t="shared" ref="G20:H20" si="20">+G5/C5-1</f>
        <v>0.3944340044742729</v>
      </c>
      <c r="H20" s="7">
        <f t="shared" si="20"/>
        <v>0.19489408094971306</v>
      </c>
      <c r="I20" s="7">
        <f t="shared" ref="I20:N20" si="21">+I5/E5-1</f>
        <v>0.2085605880958028</v>
      </c>
      <c r="J20" s="7">
        <f t="shared" si="21"/>
        <v>0.22679936817679858</v>
      </c>
      <c r="K20" s="7">
        <f t="shared" si="21"/>
        <v>0.10701542726595981</v>
      </c>
      <c r="L20" s="7">
        <f t="shared" si="21"/>
        <v>7.1459347120843564E-2</v>
      </c>
      <c r="M20" s="7">
        <f t="shared" si="21"/>
        <v>0.10000000000000009</v>
      </c>
      <c r="N20" s="7">
        <f t="shared" si="21"/>
        <v>0.10000000000000009</v>
      </c>
      <c r="S20" s="10">
        <f>+S5/R5-1</f>
        <v>0.39433240351833443</v>
      </c>
      <c r="T20" s="10">
        <f>+T5/S5-1</f>
        <v>0.24990514588371471</v>
      </c>
      <c r="U20" s="10">
        <f>+U5/T5-1</f>
        <v>9.4770247812249186E-2</v>
      </c>
    </row>
    <row r="21" spans="2:21" x14ac:dyDescent="0.2">
      <c r="B21" s="2" t="s">
        <v>68</v>
      </c>
      <c r="C21" s="7">
        <f t="shared" ref="C21:N21" si="22">+C7/C5</f>
        <v>0.6425413870246085</v>
      </c>
      <c r="D21" s="7">
        <f t="shared" si="22"/>
        <v>0.65109553156372557</v>
      </c>
      <c r="E21" s="7">
        <f t="shared" si="22"/>
        <v>0.6524484230495613</v>
      </c>
      <c r="F21" s="7">
        <f t="shared" si="22"/>
        <v>0.66059072673646546</v>
      </c>
      <c r="G21" s="7">
        <f t="shared" si="22"/>
        <v>0.66122904741124833</v>
      </c>
      <c r="H21" s="7">
        <f t="shared" si="22"/>
        <v>0.68822232360097324</v>
      </c>
      <c r="I21" s="7">
        <f t="shared" si="22"/>
        <v>0.68278475424310803</v>
      </c>
      <c r="J21" s="7">
        <f t="shared" si="22"/>
        <v>0.70073150722391864</v>
      </c>
      <c r="K21" s="7">
        <f t="shared" si="22"/>
        <v>0.70978064276770392</v>
      </c>
      <c r="L21" s="7">
        <f t="shared" si="22"/>
        <v>0.70892124280020341</v>
      </c>
      <c r="M21" s="7">
        <f t="shared" si="22"/>
        <v>0.71</v>
      </c>
      <c r="N21" s="7">
        <f t="shared" si="22"/>
        <v>0.71000000000000008</v>
      </c>
      <c r="R21" s="7">
        <f t="shared" ref="R21:U21" si="23">+R7/R5</f>
        <v>0.62436542798208772</v>
      </c>
      <c r="S21" s="7">
        <f t="shared" si="23"/>
        <v>0.65221690357839546</v>
      </c>
      <c r="T21" s="7">
        <f t="shared" si="23"/>
        <v>0.68378028663064871</v>
      </c>
      <c r="U21" s="7">
        <f t="shared" si="23"/>
        <v>0.70969154872062601</v>
      </c>
    </row>
    <row r="22" spans="2:21" x14ac:dyDescent="0.2">
      <c r="R22" s="7"/>
    </row>
    <row r="23" spans="2:21" x14ac:dyDescent="0.2">
      <c r="B23" s="2" t="s">
        <v>3</v>
      </c>
      <c r="L23" s="5">
        <f>575.499+56.698</f>
        <v>632.197</v>
      </c>
    </row>
    <row r="24" spans="2:21" x14ac:dyDescent="0.2">
      <c r="B24" s="2" t="s">
        <v>59</v>
      </c>
      <c r="L24" s="5">
        <v>28.869</v>
      </c>
    </row>
    <row r="25" spans="2:21" x14ac:dyDescent="0.2">
      <c r="B25" s="2" t="s">
        <v>58</v>
      </c>
      <c r="L25" s="5">
        <v>4.8559999999999999</v>
      </c>
    </row>
    <row r="26" spans="2:21" x14ac:dyDescent="0.2">
      <c r="B26" s="2" t="s">
        <v>48</v>
      </c>
      <c r="L26" s="5">
        <f>3.601+6.852+1.553</f>
        <v>12.006</v>
      </c>
    </row>
    <row r="27" spans="2:21" x14ac:dyDescent="0.2">
      <c r="B27" s="2" t="s">
        <v>60</v>
      </c>
      <c r="L27" s="5">
        <v>12.147</v>
      </c>
    </row>
    <row r="28" spans="2:21" x14ac:dyDescent="0.2">
      <c r="B28" t="s">
        <v>57</v>
      </c>
      <c r="L28" s="5">
        <v>12.643000000000001</v>
      </c>
    </row>
    <row r="29" spans="2:21" x14ac:dyDescent="0.2">
      <c r="B29" t="s">
        <v>47</v>
      </c>
      <c r="L29" s="5">
        <v>1</v>
      </c>
    </row>
    <row r="30" spans="2:21" x14ac:dyDescent="0.2">
      <c r="B30" t="s">
        <v>56</v>
      </c>
      <c r="L30" s="5">
        <f>174.388+9.132</f>
        <v>183.52</v>
      </c>
    </row>
    <row r="31" spans="2:21" x14ac:dyDescent="0.2">
      <c r="B31" t="s">
        <v>53</v>
      </c>
      <c r="L31" s="5">
        <v>7.282</v>
      </c>
    </row>
    <row r="32" spans="2:21" s="2" customFormat="1" x14ac:dyDescent="0.2">
      <c r="B32" s="2" t="s">
        <v>55</v>
      </c>
      <c r="C32" s="5"/>
      <c r="D32" s="5"/>
      <c r="E32" s="5"/>
      <c r="F32" s="5"/>
      <c r="G32" s="5"/>
      <c r="H32" s="5"/>
      <c r="I32" s="5"/>
      <c r="J32" s="5"/>
      <c r="K32" s="5"/>
      <c r="L32" s="5">
        <f>SUM(L23:L31)</f>
        <v>894.5200000000001</v>
      </c>
      <c r="M32" s="5"/>
      <c r="N32" s="5"/>
    </row>
    <row r="33" spans="2:14" s="2" customFormat="1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s="2" customFormat="1" x14ac:dyDescent="0.2">
      <c r="B34" s="2" t="s">
        <v>61</v>
      </c>
      <c r="C34" s="5"/>
      <c r="D34" s="5"/>
      <c r="E34" s="5"/>
      <c r="F34" s="5"/>
      <c r="G34" s="5"/>
      <c r="H34" s="5"/>
      <c r="I34" s="5"/>
      <c r="J34" s="5"/>
      <c r="K34" s="5"/>
      <c r="L34" s="5">
        <v>314.71800000000002</v>
      </c>
      <c r="M34" s="5"/>
      <c r="N34" s="5"/>
    </row>
    <row r="35" spans="2:14" s="2" customFormat="1" x14ac:dyDescent="0.2">
      <c r="B35" s="2" t="s">
        <v>64</v>
      </c>
      <c r="C35" s="5"/>
      <c r="D35" s="5"/>
      <c r="E35" s="5"/>
      <c r="F35" s="5"/>
      <c r="G35" s="5"/>
      <c r="H35" s="5"/>
      <c r="I35" s="5"/>
      <c r="J35" s="5"/>
      <c r="K35" s="5"/>
      <c r="L35" s="5">
        <v>1.4670000000000001</v>
      </c>
      <c r="M35" s="5"/>
      <c r="N35" s="5"/>
    </row>
    <row r="36" spans="2:14" s="2" customFormat="1" x14ac:dyDescent="0.2">
      <c r="B36" s="2" t="s">
        <v>51</v>
      </c>
      <c r="C36" s="5"/>
      <c r="D36" s="5"/>
      <c r="E36" s="5"/>
      <c r="F36" s="5"/>
      <c r="G36" s="5"/>
      <c r="H36" s="5"/>
      <c r="I36" s="5"/>
      <c r="J36" s="5"/>
      <c r="K36" s="5"/>
      <c r="L36" s="5">
        <v>8.2129999999999992</v>
      </c>
      <c r="M36" s="5"/>
      <c r="N36" s="5"/>
    </row>
    <row r="37" spans="2:14" s="2" customFormat="1" x14ac:dyDescent="0.2">
      <c r="B37" s="2" t="s">
        <v>65</v>
      </c>
      <c r="C37" s="5"/>
      <c r="D37" s="5"/>
      <c r="E37" s="5"/>
      <c r="F37" s="5"/>
      <c r="G37" s="5"/>
      <c r="H37" s="5"/>
      <c r="I37" s="5"/>
      <c r="J37" s="5"/>
      <c r="K37" s="5"/>
      <c r="L37" s="5">
        <v>8.5340000000000007</v>
      </c>
      <c r="M37" s="5"/>
      <c r="N37" s="5"/>
    </row>
    <row r="38" spans="2:14" s="2" customFormat="1" x14ac:dyDescent="0.2">
      <c r="B38" s="2" t="s">
        <v>29</v>
      </c>
      <c r="C38" s="5"/>
      <c r="D38" s="5"/>
      <c r="E38" s="5"/>
      <c r="F38" s="5"/>
      <c r="G38" s="5"/>
      <c r="H38" s="5"/>
      <c r="I38" s="5"/>
      <c r="J38" s="5"/>
      <c r="K38" s="5"/>
      <c r="L38" s="5">
        <f>5.712+4.532</f>
        <v>10.244</v>
      </c>
      <c r="M38" s="5"/>
      <c r="N38" s="5"/>
    </row>
    <row r="39" spans="2:14" s="2" customFormat="1" x14ac:dyDescent="0.2">
      <c r="B39" s="2" t="s">
        <v>47</v>
      </c>
      <c r="C39" s="5"/>
      <c r="D39" s="5"/>
      <c r="E39" s="5"/>
      <c r="F39" s="5"/>
      <c r="G39" s="5"/>
      <c r="H39" s="5"/>
      <c r="I39" s="5"/>
      <c r="J39" s="5"/>
      <c r="K39" s="5"/>
      <c r="L39" s="5">
        <f>1.973+1.423</f>
        <v>3.3959999999999999</v>
      </c>
      <c r="M39" s="5"/>
      <c r="N39" s="5"/>
    </row>
    <row r="40" spans="2:14" s="2" customFormat="1" x14ac:dyDescent="0.2">
      <c r="B40" s="2" t="s">
        <v>66</v>
      </c>
      <c r="C40" s="5"/>
      <c r="D40" s="5"/>
      <c r="E40" s="5"/>
      <c r="F40" s="5"/>
      <c r="G40" s="5"/>
      <c r="H40" s="5"/>
      <c r="I40" s="5"/>
      <c r="J40" s="5"/>
      <c r="K40" s="5"/>
      <c r="L40" s="5">
        <v>13.061999999999999</v>
      </c>
      <c r="M40" s="5"/>
      <c r="N40" s="5"/>
    </row>
    <row r="41" spans="2:14" s="2" customFormat="1" x14ac:dyDescent="0.2">
      <c r="B41" s="2" t="s">
        <v>4</v>
      </c>
      <c r="C41" s="5"/>
      <c r="D41" s="5"/>
      <c r="E41" s="5"/>
      <c r="F41" s="5"/>
      <c r="G41" s="5"/>
      <c r="H41" s="5"/>
      <c r="I41" s="5"/>
      <c r="J41" s="5"/>
      <c r="K41" s="5"/>
      <c r="L41" s="5">
        <v>358.72500000000002</v>
      </c>
      <c r="M41" s="5"/>
      <c r="N41" s="5"/>
    </row>
    <row r="42" spans="2:14" s="2" customFormat="1" x14ac:dyDescent="0.2">
      <c r="B42" s="2" t="s">
        <v>63</v>
      </c>
      <c r="C42" s="5"/>
      <c r="D42" s="5"/>
      <c r="E42" s="5"/>
      <c r="F42" s="5"/>
      <c r="G42" s="5"/>
      <c r="H42" s="5"/>
      <c r="I42" s="5"/>
      <c r="J42" s="5"/>
      <c r="K42" s="5"/>
      <c r="L42" s="5">
        <v>176.161</v>
      </c>
      <c r="M42" s="5"/>
      <c r="N42" s="5"/>
    </row>
    <row r="43" spans="2:14" s="2" customFormat="1" x14ac:dyDescent="0.2">
      <c r="B43" s="2" t="s">
        <v>62</v>
      </c>
      <c r="C43" s="5"/>
      <c r="D43" s="5"/>
      <c r="E43" s="5"/>
      <c r="F43" s="5"/>
      <c r="G43" s="5"/>
      <c r="H43" s="5"/>
      <c r="I43" s="5"/>
      <c r="J43" s="5"/>
      <c r="K43" s="5"/>
      <c r="L43" s="5">
        <f>SUM(L34:L42)</f>
        <v>894.52000000000021</v>
      </c>
      <c r="M43" s="5"/>
      <c r="N43" s="5"/>
    </row>
    <row r="44" spans="2:14" s="2" customFormat="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s="2" customFormat="1" x14ac:dyDescent="0.2">
      <c r="B45" s="2" t="s">
        <v>41</v>
      </c>
      <c r="C45" s="5"/>
      <c r="D45" s="5"/>
      <c r="E45" s="5"/>
      <c r="F45" s="5"/>
      <c r="G45" s="5"/>
      <c r="H45" s="5"/>
      <c r="I45" s="5"/>
      <c r="J45" s="5"/>
      <c r="K45" s="5">
        <f>+K16</f>
        <v>-1984</v>
      </c>
      <c r="L45" s="5">
        <f>+L16</f>
        <v>1063</v>
      </c>
      <c r="M45" s="5"/>
      <c r="N45" s="5"/>
    </row>
    <row r="46" spans="2:14" s="2" customFormat="1" x14ac:dyDescent="0.2">
      <c r="B46" s="2" t="s">
        <v>42</v>
      </c>
      <c r="C46" s="5"/>
      <c r="D46" s="5"/>
      <c r="E46" s="5"/>
      <c r="F46" s="5"/>
      <c r="G46" s="5"/>
      <c r="H46" s="5"/>
      <c r="I46" s="5"/>
      <c r="J46" s="5"/>
      <c r="K46" s="5">
        <v>-4490</v>
      </c>
      <c r="L46" s="5">
        <f>-3427-K46</f>
        <v>1063</v>
      </c>
      <c r="M46" s="5"/>
      <c r="N46" s="5"/>
    </row>
    <row r="47" spans="2:14" s="2" customFormat="1" x14ac:dyDescent="0.2">
      <c r="B47" s="2" t="s">
        <v>43</v>
      </c>
      <c r="C47" s="5"/>
      <c r="D47" s="5"/>
      <c r="E47" s="5"/>
      <c r="F47" s="5"/>
      <c r="G47" s="5"/>
      <c r="H47" s="5"/>
      <c r="I47" s="5"/>
      <c r="J47" s="5"/>
      <c r="K47" s="5">
        <v>3594</v>
      </c>
      <c r="L47" s="5">
        <f>7242-K47</f>
        <v>3648</v>
      </c>
      <c r="M47" s="5"/>
      <c r="N47" s="5"/>
    </row>
    <row r="48" spans="2:14" s="2" customFormat="1" x14ac:dyDescent="0.2">
      <c r="B48" s="2" t="s">
        <v>44</v>
      </c>
      <c r="C48" s="5"/>
      <c r="D48" s="5"/>
      <c r="E48" s="5"/>
      <c r="F48" s="5"/>
      <c r="G48" s="5"/>
      <c r="H48" s="5"/>
      <c r="I48" s="5"/>
      <c r="J48" s="5"/>
      <c r="K48" s="5">
        <v>13962</v>
      </c>
      <c r="L48" s="5">
        <f>29239-K48</f>
        <v>15277</v>
      </c>
      <c r="M48" s="5"/>
      <c r="N48" s="5"/>
    </row>
    <row r="49" spans="2:21" s="2" customFormat="1" x14ac:dyDescent="0.2">
      <c r="B49" s="2" t="s">
        <v>45</v>
      </c>
      <c r="C49" s="5"/>
      <c r="D49" s="5"/>
      <c r="E49" s="5"/>
      <c r="F49" s="5"/>
      <c r="G49" s="5"/>
      <c r="H49" s="5"/>
      <c r="I49" s="5"/>
      <c r="J49" s="5"/>
      <c r="K49" s="5">
        <v>526</v>
      </c>
      <c r="L49" s="5">
        <f>1057-K49</f>
        <v>531</v>
      </c>
      <c r="M49" s="5"/>
      <c r="N49" s="5"/>
    </row>
    <row r="50" spans="2:21" s="2" customFormat="1" x14ac:dyDescent="0.2">
      <c r="B50" s="2" t="s">
        <v>33</v>
      </c>
      <c r="C50" s="5"/>
      <c r="D50" s="5"/>
      <c r="E50" s="5"/>
      <c r="F50" s="5"/>
      <c r="G50" s="5"/>
      <c r="H50" s="5"/>
      <c r="I50" s="5"/>
      <c r="J50" s="5"/>
      <c r="K50" s="5">
        <v>-1222</v>
      </c>
      <c r="L50" s="5">
        <f>-1326-K50</f>
        <v>-104</v>
      </c>
      <c r="M50" s="5"/>
      <c r="N50" s="5"/>
    </row>
    <row r="51" spans="2:21" s="2" customFormat="1" x14ac:dyDescent="0.2">
      <c r="B51" s="2" t="s">
        <v>46</v>
      </c>
      <c r="C51" s="5"/>
      <c r="D51" s="5"/>
      <c r="E51" s="5"/>
      <c r="F51" s="5"/>
      <c r="G51" s="5"/>
      <c r="H51" s="5"/>
      <c r="I51" s="5"/>
      <c r="J51" s="5"/>
      <c r="K51" s="5">
        <v>-1877</v>
      </c>
      <c r="L51" s="5">
        <f>-2769-K51</f>
        <v>-892</v>
      </c>
      <c r="M51" s="5"/>
      <c r="N51" s="5"/>
    </row>
    <row r="52" spans="2:21" s="2" customFormat="1" x14ac:dyDescent="0.2">
      <c r="B52" s="2" t="s">
        <v>47</v>
      </c>
      <c r="C52" s="5"/>
      <c r="D52" s="5"/>
      <c r="E52" s="5"/>
      <c r="F52" s="5"/>
      <c r="G52" s="5"/>
      <c r="H52" s="5"/>
      <c r="I52" s="5"/>
      <c r="J52" s="5"/>
      <c r="K52" s="5">
        <v>133</v>
      </c>
      <c r="L52" s="5">
        <f>273-K52</f>
        <v>140</v>
      </c>
      <c r="M52" s="5"/>
      <c r="N52" s="5"/>
    </row>
    <row r="53" spans="2:21" s="2" customFormat="1" x14ac:dyDescent="0.2">
      <c r="B53" s="2" t="s">
        <v>49</v>
      </c>
      <c r="C53" s="5"/>
      <c r="D53" s="5"/>
      <c r="E53" s="5"/>
      <c r="F53" s="5"/>
      <c r="G53" s="5"/>
      <c r="H53" s="5"/>
      <c r="I53" s="5"/>
      <c r="J53" s="5"/>
      <c r="K53" s="5">
        <v>194</v>
      </c>
      <c r="L53" s="5">
        <f>401-K53</f>
        <v>207</v>
      </c>
      <c r="M53" s="5"/>
      <c r="N53" s="5"/>
    </row>
    <row r="54" spans="2:21" s="2" customFormat="1" x14ac:dyDescent="0.2">
      <c r="B54" s="2" t="s">
        <v>50</v>
      </c>
      <c r="C54" s="5"/>
      <c r="D54" s="5"/>
      <c r="E54" s="5"/>
      <c r="F54" s="5"/>
      <c r="G54" s="5"/>
      <c r="H54" s="5"/>
      <c r="I54" s="5"/>
      <c r="J54" s="5"/>
      <c r="K54" s="5">
        <v>423</v>
      </c>
      <c r="L54" s="5">
        <f>-2920-K54</f>
        <v>-3343</v>
      </c>
      <c r="M54" s="5"/>
      <c r="N54" s="5"/>
    </row>
    <row r="55" spans="2:21" s="2" customFormat="1" x14ac:dyDescent="0.2">
      <c r="B55" s="2" t="s">
        <v>51</v>
      </c>
      <c r="C55" s="5"/>
      <c r="D55" s="5"/>
      <c r="E55" s="5"/>
      <c r="F55" s="5"/>
      <c r="G55" s="5"/>
      <c r="H55" s="5"/>
      <c r="I55" s="5"/>
      <c r="J55" s="5"/>
      <c r="K55" s="5">
        <v>5046</v>
      </c>
      <c r="L55" s="5">
        <f>14559-K55</f>
        <v>9513</v>
      </c>
      <c r="M55" s="5"/>
      <c r="N55" s="5"/>
    </row>
    <row r="56" spans="2:21" s="2" customFormat="1" x14ac:dyDescent="0.2">
      <c r="B56" s="2" t="s">
        <v>52</v>
      </c>
      <c r="C56" s="5"/>
      <c r="D56" s="5"/>
      <c r="E56" s="5"/>
      <c r="F56" s="5"/>
      <c r="G56" s="5"/>
      <c r="H56" s="5"/>
      <c r="I56" s="5"/>
      <c r="J56" s="5"/>
      <c r="K56" s="5">
        <v>0</v>
      </c>
      <c r="L56" s="5">
        <f>-3927-K56</f>
        <v>-3927</v>
      </c>
      <c r="M56" s="5"/>
      <c r="N56" s="5"/>
    </row>
    <row r="57" spans="2:21" s="2" customFormat="1" x14ac:dyDescent="0.2">
      <c r="B57" s="2" t="s">
        <v>53</v>
      </c>
      <c r="C57" s="5"/>
      <c r="D57" s="5"/>
      <c r="E57" s="5"/>
      <c r="F57" s="5"/>
      <c r="G57" s="5"/>
      <c r="H57" s="5"/>
      <c r="I57" s="5"/>
      <c r="J57" s="5"/>
      <c r="K57" s="5">
        <v>155</v>
      </c>
      <c r="L57" s="5">
        <f>623-K57</f>
        <v>468</v>
      </c>
      <c r="M57" s="5"/>
      <c r="N57" s="5"/>
    </row>
    <row r="58" spans="2:21" s="2" customFormat="1" x14ac:dyDescent="0.2">
      <c r="B58" s="2" t="s">
        <v>54</v>
      </c>
      <c r="C58" s="5"/>
      <c r="D58" s="5"/>
      <c r="E58" s="5"/>
      <c r="F58" s="5"/>
      <c r="G58" s="5"/>
      <c r="H58" s="5"/>
      <c r="I58" s="5"/>
      <c r="J58" s="5"/>
      <c r="K58" s="5">
        <f>-899+13668-3036+2142+52002-1151-4416-8776-2020-488+7</f>
        <v>47033</v>
      </c>
      <c r="L58" s="5">
        <f>-2866+20155-3922+1291+9712-366-14415-8988-3840-991-4003-K58</f>
        <v>-55266</v>
      </c>
      <c r="M58" s="5"/>
      <c r="N58" s="5"/>
    </row>
    <row r="59" spans="2:21" s="2" customFormat="1" x14ac:dyDescent="0.2">
      <c r="B59" s="2" t="s">
        <v>40</v>
      </c>
      <c r="C59" s="5"/>
      <c r="D59" s="5"/>
      <c r="E59" s="5"/>
      <c r="F59" s="5"/>
      <c r="G59" s="5"/>
      <c r="H59" s="5"/>
      <c r="I59" s="5"/>
      <c r="J59" s="5"/>
      <c r="K59" s="5">
        <f>SUM(K46:K58)</f>
        <v>63477</v>
      </c>
      <c r="L59" s="5">
        <f>SUM(L46:L58)</f>
        <v>-32685</v>
      </c>
      <c r="M59" s="5"/>
      <c r="N59" s="5"/>
      <c r="R59" s="2">
        <v>85834</v>
      </c>
      <c r="S59" s="2">
        <v>8610</v>
      </c>
      <c r="T59" s="2">
        <v>19018</v>
      </c>
      <c r="U59" s="2">
        <f>SUM(K59:N59)</f>
        <v>30792</v>
      </c>
    </row>
    <row r="60" spans="2:21" s="2" customFormat="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21" s="2" customFormat="1" x14ac:dyDescent="0.2">
      <c r="B61" s="2" t="s">
        <v>38</v>
      </c>
      <c r="C61" s="5"/>
      <c r="D61" s="5"/>
      <c r="E61" s="5"/>
      <c r="F61" s="5"/>
      <c r="G61" s="5"/>
      <c r="H61" s="5"/>
      <c r="I61" s="5"/>
      <c r="J61" s="5"/>
      <c r="K61" s="5"/>
      <c r="L61" s="5">
        <f>-112185+212002+K61</f>
        <v>99817</v>
      </c>
      <c r="M61" s="5"/>
      <c r="N61" s="5"/>
    </row>
    <row r="62" spans="2:21" s="2" customFormat="1" x14ac:dyDescent="0.2">
      <c r="B62" s="2" t="s">
        <v>39</v>
      </c>
      <c r="C62" s="5"/>
      <c r="D62" s="5"/>
      <c r="E62" s="5"/>
      <c r="F62" s="5"/>
      <c r="G62" s="5"/>
      <c r="H62" s="5"/>
      <c r="I62" s="5"/>
      <c r="J62" s="5"/>
      <c r="K62" s="5"/>
      <c r="L62" s="5">
        <f>-403-4818-K62</f>
        <v>-5221</v>
      </c>
      <c r="M62" s="5"/>
      <c r="N62" s="5"/>
      <c r="R62" s="2">
        <f>-985-1548</f>
        <v>-2533</v>
      </c>
      <c r="S62" s="2">
        <f>-1425-3026</f>
        <v>-4451</v>
      </c>
      <c r="T62" s="2">
        <f>-1097-6073</f>
        <v>-7170</v>
      </c>
      <c r="U62" s="2">
        <f>SUM(K62:N62)</f>
        <v>-5221</v>
      </c>
    </row>
    <row r="63" spans="2:21" s="2" customFormat="1" x14ac:dyDescent="0.2">
      <c r="B63" s="2" t="s">
        <v>37</v>
      </c>
      <c r="C63" s="5"/>
      <c r="D63" s="5"/>
      <c r="E63" s="5"/>
      <c r="F63" s="5"/>
      <c r="G63" s="5"/>
      <c r="H63" s="5"/>
      <c r="I63" s="5"/>
      <c r="J63" s="5"/>
      <c r="K63" s="5"/>
      <c r="L63" s="5">
        <f>+L61+L62</f>
        <v>94596</v>
      </c>
      <c r="M63" s="5"/>
      <c r="N63" s="5"/>
    </row>
    <row r="64" spans="2:21" s="2" customFormat="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2:21" s="2" customFormat="1" x14ac:dyDescent="0.2">
      <c r="B65" s="2" t="s">
        <v>35</v>
      </c>
      <c r="C65" s="5"/>
      <c r="D65" s="5"/>
      <c r="E65" s="5"/>
      <c r="F65" s="5"/>
      <c r="G65" s="5"/>
      <c r="H65" s="5"/>
      <c r="I65" s="5"/>
      <c r="J65" s="5"/>
      <c r="K65" s="5"/>
      <c r="L65" s="5">
        <f>-36508-K65</f>
        <v>-36508</v>
      </c>
      <c r="M65" s="5"/>
      <c r="N65" s="5"/>
    </row>
    <row r="66" spans="2:21" s="2" customFormat="1" x14ac:dyDescent="0.2">
      <c r="B66" s="2" t="s">
        <v>36</v>
      </c>
      <c r="C66" s="5"/>
      <c r="D66" s="5"/>
      <c r="E66" s="5"/>
      <c r="F66" s="5"/>
      <c r="G66" s="5"/>
      <c r="H66" s="5"/>
      <c r="I66" s="5"/>
      <c r="J66" s="5"/>
      <c r="K66" s="5"/>
      <c r="L66" s="5">
        <f>-5776+454-K66</f>
        <v>-5322</v>
      </c>
      <c r="M66" s="5"/>
      <c r="N66" s="5"/>
    </row>
    <row r="67" spans="2:21" s="2" customFormat="1" x14ac:dyDescent="0.2">
      <c r="B67" s="2" t="s">
        <v>34</v>
      </c>
      <c r="C67" s="5"/>
      <c r="D67" s="5"/>
      <c r="E67" s="5"/>
      <c r="F67" s="5"/>
      <c r="G67" s="5"/>
      <c r="H67" s="5"/>
      <c r="I67" s="5"/>
      <c r="J67" s="5"/>
      <c r="K67" s="5"/>
      <c r="L67" s="5">
        <f>+L65+L66</f>
        <v>-41830</v>
      </c>
      <c r="M67" s="5"/>
      <c r="N67" s="5"/>
    </row>
    <row r="68" spans="2:21" s="2" customFormat="1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21" s="2" customFormat="1" x14ac:dyDescent="0.2">
      <c r="B69" s="2" t="s">
        <v>33</v>
      </c>
      <c r="C69" s="5"/>
      <c r="D69" s="5"/>
      <c r="E69" s="5"/>
      <c r="F69" s="5"/>
      <c r="G69" s="5"/>
      <c r="H69" s="5"/>
      <c r="I69" s="5"/>
      <c r="J69" s="5"/>
      <c r="K69" s="5"/>
      <c r="L69" s="5">
        <v>2741</v>
      </c>
      <c r="M69" s="5"/>
      <c r="N69" s="5"/>
    </row>
    <row r="70" spans="2:21" s="2" customFormat="1" x14ac:dyDescent="0.2">
      <c r="B70" s="2" t="s">
        <v>32</v>
      </c>
      <c r="C70" s="5"/>
      <c r="D70" s="5"/>
      <c r="E70" s="5"/>
      <c r="F70" s="5"/>
      <c r="G70" s="5"/>
      <c r="H70" s="5"/>
      <c r="I70" s="5"/>
      <c r="J70" s="5"/>
      <c r="K70" s="5"/>
      <c r="L70" s="5">
        <f>+L69+L67+L63+L59</f>
        <v>22822</v>
      </c>
      <c r="M70" s="5"/>
      <c r="N70" s="5"/>
    </row>
    <row r="75" spans="2:21" x14ac:dyDescent="0.2">
      <c r="R75" s="2">
        <f>+R59+R62</f>
        <v>83301</v>
      </c>
      <c r="S75" s="2">
        <f>+S59+S62</f>
        <v>4159</v>
      </c>
      <c r="T75" s="2">
        <f>+T59+T62</f>
        <v>11848</v>
      </c>
      <c r="U75" s="2">
        <f>+U59+U62</f>
        <v>25571</v>
      </c>
    </row>
  </sheetData>
  <hyperlinks>
    <hyperlink ref="A1" location="Main!A1" display="Main" xr:uid="{2FB743EC-CF96-4416-A4B0-D5E741DDC73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2024-10-10T18:32:53Z</dcterms:created>
  <dcterms:modified xsi:type="dcterms:W3CDTF">2025-10-09T11:21:27Z</dcterms:modified>
</cp:coreProperties>
</file>