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07A2D885-BFDB-4BDC-9F61-40D923B11CAA}" xr6:coauthVersionLast="47" xr6:coauthVersionMax="47" xr10:uidLastSave="{00000000-0000-0000-0000-000000000000}"/>
  <bookViews>
    <workbookView xWindow="2850" yWindow="2625" windowWidth="18075" windowHeight="16020" activeTab="1" xr2:uid="{7988AE19-931E-46C1-9F7B-A4A68F0CA97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2" l="1"/>
  <c r="AC4" i="2" s="1"/>
  <c r="AC18" i="2" s="1"/>
  <c r="AA4" i="2"/>
  <c r="AE7" i="2"/>
  <c r="AF7" i="2" s="1"/>
  <c r="AG7" i="2" s="1"/>
  <c r="AH7" i="2" s="1"/>
  <c r="AI7" i="2" s="1"/>
  <c r="AE9" i="2"/>
  <c r="AF9" i="2" s="1"/>
  <c r="AG9" i="2" s="1"/>
  <c r="AH9" i="2" s="1"/>
  <c r="AI9" i="2" s="1"/>
  <c r="AE14" i="2"/>
  <c r="AF14" i="2" s="1"/>
  <c r="AG14" i="2" s="1"/>
  <c r="AH14" i="2" s="1"/>
  <c r="AI14" i="2" s="1"/>
  <c r="AI2" i="2"/>
  <c r="AB2" i="2"/>
  <c r="AC2" i="2"/>
  <c r="AD2" i="2" s="1"/>
  <c r="AE2" i="2" s="1"/>
  <c r="AF2" i="2" s="1"/>
  <c r="AG2" i="2" s="1"/>
  <c r="AH2" i="2" s="1"/>
  <c r="AB7" i="2"/>
  <c r="AC7" i="2" s="1"/>
  <c r="AD7" i="2" s="1"/>
  <c r="AB9" i="2"/>
  <c r="AC9" i="2" s="1"/>
  <c r="AD9" i="2" s="1"/>
  <c r="AB14" i="2"/>
  <c r="AC14" i="2" s="1"/>
  <c r="AD14" i="2" s="1"/>
  <c r="O38" i="2"/>
  <c r="O29" i="2"/>
  <c r="O27" i="2"/>
  <c r="O21" i="2"/>
  <c r="Z4" i="2"/>
  <c r="S4" i="2"/>
  <c r="R4" i="2"/>
  <c r="Q4" i="2"/>
  <c r="P4" i="2"/>
  <c r="P19" i="2" s="1"/>
  <c r="S19" i="2"/>
  <c r="R19" i="2"/>
  <c r="Q19" i="2"/>
  <c r="S18" i="2"/>
  <c r="R18" i="2"/>
  <c r="Q18" i="2"/>
  <c r="P18" i="2"/>
  <c r="O43" i="2"/>
  <c r="O42" i="2"/>
  <c r="O41" i="2"/>
  <c r="O13" i="2"/>
  <c r="O9" i="2"/>
  <c r="O6" i="2"/>
  <c r="O8" i="2" s="1"/>
  <c r="Y7" i="2"/>
  <c r="Y4" i="2"/>
  <c r="Y6" i="2" s="1"/>
  <c r="Y8" i="2" s="1"/>
  <c r="Y10" i="2" s="1"/>
  <c r="Y11" i="2" s="1"/>
  <c r="L9" i="2"/>
  <c r="N9" i="2"/>
  <c r="K43" i="2"/>
  <c r="K42" i="2"/>
  <c r="K41" i="2"/>
  <c r="N43" i="2"/>
  <c r="M43" i="2"/>
  <c r="L43" i="2"/>
  <c r="H43" i="2"/>
  <c r="O18" i="2"/>
  <c r="S2" i="2"/>
  <c r="R2" i="2"/>
  <c r="Q2" i="2"/>
  <c r="P2" i="2"/>
  <c r="I42" i="2"/>
  <c r="J42" i="2" s="1"/>
  <c r="I41" i="2"/>
  <c r="J41" i="2" s="1"/>
  <c r="J43" i="2" s="1"/>
  <c r="M42" i="2"/>
  <c r="M41" i="2"/>
  <c r="N41" i="2" s="1"/>
  <c r="M6" i="2"/>
  <c r="M19" i="2" s="1"/>
  <c r="N42" i="2"/>
  <c r="N31" i="2"/>
  <c r="N38" i="2" s="1"/>
  <c r="N27" i="2"/>
  <c r="N29" i="2" s="1"/>
  <c r="N6" i="2"/>
  <c r="N19" i="2" s="1"/>
  <c r="N18" i="2"/>
  <c r="M18" i="2"/>
  <c r="N2" i="2"/>
  <c r="M2" i="2"/>
  <c r="Y14" i="2"/>
  <c r="Z14" i="2" s="1"/>
  <c r="AA14" i="2" s="1"/>
  <c r="Z7" i="2"/>
  <c r="Y2" i="2"/>
  <c r="Z2" i="2" s="1"/>
  <c r="AA2" i="2" s="1"/>
  <c r="H18" i="2"/>
  <c r="D9" i="2"/>
  <c r="D6" i="2"/>
  <c r="D19" i="2" s="1"/>
  <c r="G14" i="2"/>
  <c r="G11" i="2"/>
  <c r="G7" i="2"/>
  <c r="G5" i="2"/>
  <c r="G4" i="2"/>
  <c r="K14" i="2"/>
  <c r="K11" i="2"/>
  <c r="K7" i="2"/>
  <c r="K5" i="2"/>
  <c r="K4" i="2"/>
  <c r="K18" i="2" s="1"/>
  <c r="E9" i="2"/>
  <c r="I18" i="2"/>
  <c r="E6" i="2"/>
  <c r="E8" i="2" s="1"/>
  <c r="I9" i="2"/>
  <c r="I6" i="2"/>
  <c r="I19" i="2" s="1"/>
  <c r="J18" i="2"/>
  <c r="F9" i="2"/>
  <c r="F6" i="2"/>
  <c r="F8" i="2" s="1"/>
  <c r="J9" i="2"/>
  <c r="J6" i="2"/>
  <c r="J19" i="2" s="1"/>
  <c r="V9" i="2"/>
  <c r="W9" i="2"/>
  <c r="X9" i="2"/>
  <c r="Y9" i="2" s="1"/>
  <c r="Z9" i="2" s="1"/>
  <c r="AA9" i="2" s="1"/>
  <c r="V6" i="2"/>
  <c r="V8" i="2" s="1"/>
  <c r="W6" i="2"/>
  <c r="W8" i="2" s="1"/>
  <c r="X6" i="2"/>
  <c r="X8" i="2" s="1"/>
  <c r="W18" i="2"/>
  <c r="X18" i="2"/>
  <c r="L18" i="2"/>
  <c r="H9" i="2"/>
  <c r="H6" i="2"/>
  <c r="H8" i="2" s="1"/>
  <c r="H10" i="2" s="1"/>
  <c r="H12" i="2" s="1"/>
  <c r="H13" i="2" s="1"/>
  <c r="L6" i="2"/>
  <c r="L8" i="2" s="1"/>
  <c r="K4" i="1"/>
  <c r="K7" i="1" s="1"/>
  <c r="AD4" i="2" l="1"/>
  <c r="AB18" i="2"/>
  <c r="AC6" i="2"/>
  <c r="AB6" i="2"/>
  <c r="O10" i="2"/>
  <c r="O12" i="2"/>
  <c r="O19" i="2"/>
  <c r="I43" i="2"/>
  <c r="M8" i="2"/>
  <c r="M10" i="2" s="1"/>
  <c r="M12" i="2" s="1"/>
  <c r="M13" i="2" s="1"/>
  <c r="N21" i="2"/>
  <c r="I8" i="2"/>
  <c r="I10" i="2" s="1"/>
  <c r="I12" i="2" s="1"/>
  <c r="I13" i="2" s="1"/>
  <c r="N8" i="2"/>
  <c r="N10" i="2" s="1"/>
  <c r="N12" i="2" s="1"/>
  <c r="N13" i="2" s="1"/>
  <c r="W10" i="2"/>
  <c r="W12" i="2" s="1"/>
  <c r="W13" i="2" s="1"/>
  <c r="V10" i="2"/>
  <c r="V12" i="2" s="1"/>
  <c r="V13" i="2" s="1"/>
  <c r="V19" i="2"/>
  <c r="W19" i="2"/>
  <c r="K9" i="2"/>
  <c r="X19" i="2"/>
  <c r="G9" i="2"/>
  <c r="Y12" i="2"/>
  <c r="Y13" i="2" s="1"/>
  <c r="Y19" i="2"/>
  <c r="AA7" i="2"/>
  <c r="K6" i="2"/>
  <c r="L19" i="2"/>
  <c r="J8" i="2"/>
  <c r="J10" i="2" s="1"/>
  <c r="J12" i="2" s="1"/>
  <c r="J13" i="2" s="1"/>
  <c r="H19" i="2"/>
  <c r="F19" i="2"/>
  <c r="X10" i="2"/>
  <c r="X12" i="2" s="1"/>
  <c r="X13" i="2" s="1"/>
  <c r="Y18" i="2"/>
  <c r="Z6" i="2"/>
  <c r="Y5" i="2"/>
  <c r="G6" i="2"/>
  <c r="G19" i="2" s="1"/>
  <c r="G8" i="2"/>
  <c r="D8" i="2"/>
  <c r="D10" i="2" s="1"/>
  <c r="D12" i="2" s="1"/>
  <c r="D13" i="2" s="1"/>
  <c r="E10" i="2"/>
  <c r="E12" i="2" s="1"/>
  <c r="E13" i="2" s="1"/>
  <c r="E19" i="2"/>
  <c r="F10" i="2"/>
  <c r="F12" i="2" s="1"/>
  <c r="F13" i="2" s="1"/>
  <c r="L10" i="2"/>
  <c r="L12" i="2" s="1"/>
  <c r="L13" i="2" s="1"/>
  <c r="AB8" i="2" l="1"/>
  <c r="AB10" i="2" s="1"/>
  <c r="AB19" i="2"/>
  <c r="AC8" i="2"/>
  <c r="AC10" i="2" s="1"/>
  <c r="AC19" i="2"/>
  <c r="AD18" i="2"/>
  <c r="AE4" i="2"/>
  <c r="AE6" i="2"/>
  <c r="AB5" i="2"/>
  <c r="AB11" i="2"/>
  <c r="AB12" i="2" s="1"/>
  <c r="AC5" i="2"/>
  <c r="AC11" i="2"/>
  <c r="AC12" i="2" s="1"/>
  <c r="AC13" i="2" s="1"/>
  <c r="AD6" i="2"/>
  <c r="G10" i="2"/>
  <c r="G12" i="2" s="1"/>
  <c r="G13" i="2" s="1"/>
  <c r="Z19" i="2"/>
  <c r="Z18" i="2"/>
  <c r="K19" i="2"/>
  <c r="K8" i="2"/>
  <c r="K10" i="2" s="1"/>
  <c r="K12" i="2" s="1"/>
  <c r="K13" i="2" s="1"/>
  <c r="Z8" i="2"/>
  <c r="Z10" i="2" s="1"/>
  <c r="Z5" i="2"/>
  <c r="AD8" i="2" l="1"/>
  <c r="AD10" i="2" s="1"/>
  <c r="AD19" i="2"/>
  <c r="AE8" i="2"/>
  <c r="AE10" i="2" s="1"/>
  <c r="AE11" i="2" s="1"/>
  <c r="AE12" i="2" s="1"/>
  <c r="AE13" i="2" s="1"/>
  <c r="AE19" i="2"/>
  <c r="AF4" i="2"/>
  <c r="AE18" i="2"/>
  <c r="AF6" i="2"/>
  <c r="AF19" i="2" s="1"/>
  <c r="AE5" i="2"/>
  <c r="AB13" i="2"/>
  <c r="AD11" i="2"/>
  <c r="AD12" i="2" s="1"/>
  <c r="AD5" i="2"/>
  <c r="Z11" i="2"/>
  <c r="Z12" i="2"/>
  <c r="Z13" i="2" s="1"/>
  <c r="AA18" i="2"/>
  <c r="AA6" i="2"/>
  <c r="AA5" i="2"/>
  <c r="AA19" i="2" s="1"/>
  <c r="AF18" i="2" l="1"/>
  <c r="AG4" i="2"/>
  <c r="AF8" i="2"/>
  <c r="AF10" i="2" s="1"/>
  <c r="AF11" i="2" s="1"/>
  <c r="AF12" i="2" s="1"/>
  <c r="AF13" i="2" s="1"/>
  <c r="AF5" i="2"/>
  <c r="AD13" i="2"/>
  <c r="AA8" i="2"/>
  <c r="AA10" i="2" s="1"/>
  <c r="AH4" i="2" l="1"/>
  <c r="AG18" i="2"/>
  <c r="AG6" i="2"/>
  <c r="AG19" i="2" s="1"/>
  <c r="AG8" i="2"/>
  <c r="AG10" i="2" s="1"/>
  <c r="AG11" i="2" s="1"/>
  <c r="AG12" i="2" s="1"/>
  <c r="AG13" i="2" s="1"/>
  <c r="AG5" i="2"/>
  <c r="AH6" i="2"/>
  <c r="AH19" i="2" s="1"/>
  <c r="AA11" i="2"/>
  <c r="AA12" i="2" s="1"/>
  <c r="AA13" i="2" s="1"/>
  <c r="AI4" i="2" l="1"/>
  <c r="AI18" i="2" s="1"/>
  <c r="AH18" i="2"/>
  <c r="AI6" i="2"/>
  <c r="AH8" i="2"/>
  <c r="AH10" i="2" s="1"/>
  <c r="AH11" i="2" s="1"/>
  <c r="AH12" i="2" s="1"/>
  <c r="AH13" i="2" s="1"/>
  <c r="AH5" i="2"/>
  <c r="AI8" i="2" l="1"/>
  <c r="AI10" i="2" s="1"/>
  <c r="AI11" i="2" s="1"/>
  <c r="AI12" i="2" s="1"/>
  <c r="AI13" i="2" s="1"/>
  <c r="AI19" i="2"/>
  <c r="AJ12" i="2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X12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DO12" i="2" s="1"/>
  <c r="DP12" i="2" s="1"/>
  <c r="AI5" i="2"/>
  <c r="AL18" i="2" l="1"/>
  <c r="AL19" i="2" s="1"/>
  <c r="AL20" i="2" s="1"/>
</calcChain>
</file>

<file path=xl/sharedStrings.xml><?xml version="1.0" encoding="utf-8"?>
<sst xmlns="http://schemas.openxmlformats.org/spreadsheetml/2006/main" count="64" uniqueCount="58">
  <si>
    <t>Price</t>
  </si>
  <si>
    <t>Shares</t>
  </si>
  <si>
    <t>MC</t>
  </si>
  <si>
    <t>Cash</t>
  </si>
  <si>
    <t>Debt</t>
  </si>
  <si>
    <t>EV</t>
  </si>
  <si>
    <t>Main</t>
  </si>
  <si>
    <t>Revenue</t>
  </si>
  <si>
    <t>EPS</t>
  </si>
  <si>
    <t>COGS</t>
  </si>
  <si>
    <t>Gross Profit</t>
  </si>
  <si>
    <t>SG&amp;A</t>
  </si>
  <si>
    <t>Operating Income</t>
  </si>
  <si>
    <t>Other Income</t>
  </si>
  <si>
    <t>Pretax Income</t>
  </si>
  <si>
    <t>Taxes</t>
  </si>
  <si>
    <t>Net Income</t>
  </si>
  <si>
    <t>Revenue y/y</t>
  </si>
  <si>
    <t>Gross Margin</t>
  </si>
  <si>
    <t>FQ325</t>
  </si>
  <si>
    <t>FQ225</t>
  </si>
  <si>
    <t>FQ125</t>
  </si>
  <si>
    <t>FQ424</t>
  </si>
  <si>
    <t>FQ324</t>
  </si>
  <si>
    <t>FQ224</t>
  </si>
  <si>
    <t>FQ124</t>
  </si>
  <si>
    <t>FQ423</t>
  </si>
  <si>
    <t>FQ323</t>
  </si>
  <si>
    <t>FQ223</t>
  </si>
  <si>
    <t>FQ123</t>
  </si>
  <si>
    <t>Assets</t>
  </si>
  <si>
    <t>Other</t>
  </si>
  <si>
    <t>Goodwill</t>
  </si>
  <si>
    <t>PP&amp;E</t>
  </si>
  <si>
    <t>AR</t>
  </si>
  <si>
    <t>Inventory</t>
  </si>
  <si>
    <t>Prepaids</t>
  </si>
  <si>
    <t>AP</t>
  </si>
  <si>
    <t>AE</t>
  </si>
  <si>
    <t>L+SE</t>
  </si>
  <si>
    <t>SE</t>
  </si>
  <si>
    <t>OLTL</t>
  </si>
  <si>
    <t>Leases</t>
  </si>
  <si>
    <t>Net Cash</t>
  </si>
  <si>
    <t>CFFO</t>
  </si>
  <si>
    <t>FQ425</t>
  </si>
  <si>
    <t>FQ126</t>
  </si>
  <si>
    <t>FQ226</t>
  </si>
  <si>
    <t>FQ326</t>
  </si>
  <si>
    <t>FQ426</t>
  </si>
  <si>
    <t>Q125</t>
  </si>
  <si>
    <t>Discount</t>
  </si>
  <si>
    <t>Terminal</t>
  </si>
  <si>
    <t>NPV</t>
  </si>
  <si>
    <t>Share</t>
  </si>
  <si>
    <t>Upside</t>
  </si>
  <si>
    <t>Founded:</t>
  </si>
  <si>
    <t>CEO: Tarang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</si>
</sst>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yyyy/mm/dd;@"/>
    <numFmt numFmtId="166" formatCode="#,##0_ ;[Red]\-#,##0\ "/>
    <numFmt numFmtId="167" formatCode="#,##0.0_ ;[Red]\-#,##0.0\ 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165" fontId="2" fillId="0" borderId="0" xfId="1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C00CF7-0AF4-4D10-AA3E-2525D7B9D0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60141</xdr:colOff>
      <xdr:row>0</xdr:row>
      <xdr:rowOff>146745</xdr:rowOff>
    </xdr:from>
    <xdr:to>
      <xdr:col>15</xdr:col>
      <xdr:colOff>60141</xdr:colOff>
      <xdr:row>54</xdr:row>
      <xdr:rowOff>154864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30F76D-3549-A724-0B3D-9E56B0856F42}"/>
            </a:ext>
          </a:extLst>
        </xdr:cNvPr>
        <xdr:cNvCxnSpPr/>
      </xdr:nvCxnSpPr>
      <xdr:spPr>
        <a:xfrm>
          <a:off x="10044295" y="146745"/>
          <a:ext cx="0" cy="87222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0</xdr:row>
      <xdr:rowOff>142875</xdr:rowOff>
    </xdr:from>
    <xdr:to>
      <xdr:col>25</xdr:col>
      <xdr:colOff>47625</xdr:colOff>
      <xdr:row>54</xdr:row>
      <xdr:rowOff>150994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B689EB-8E68-4810-BEC7-FBA98847EA79}"/>
            </a:ext>
          </a:extLst>
        </xdr:cNvPr>
        <xdr:cNvCxnSpPr/>
      </xdr:nvCxnSpPr>
      <xdr:spPr>
        <a:xfrm>
          <a:off x="16783050" y="142875"/>
          <a:ext cx="0" cy="87520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0C23-8A45-4AD5-84F8-B9FD268666C7}">
  <dimension ref="J2:L10"/>
  <sheetViews>
    <sheetView zoomScaleNormal="100" workbookViewId="0">
      <selection activeCell="L7" sqref="L7"/>
    </sheetView>
  </sheetViews>
  <sheetFormatPr defaultRowHeight="12.75" x14ac:dyDescent="0.2"/>
  <sheetData>
    <row r="2" spans="10:12" x14ac:dyDescent="0.2">
      <c r="J2" t="s">
        <v>0</v>
      </c>
      <c r="K2" s="2">
        <v>113</v>
      </c>
    </row>
    <row r="3" spans="10:12" x14ac:dyDescent="0.2">
      <c r="J3" t="s">
        <v>1</v>
      </c>
      <c r="K3" s="1">
        <v>57.980746000000003</v>
      </c>
      <c r="L3" s="3" t="s">
        <v>50</v>
      </c>
    </row>
    <row r="4" spans="10:12" x14ac:dyDescent="0.2">
      <c r="J4" t="s">
        <v>2</v>
      </c>
      <c r="K4" s="1">
        <f>+K2*K3</f>
        <v>6551.8242980000005</v>
      </c>
    </row>
    <row r="5" spans="10:12" x14ac:dyDescent="0.2">
      <c r="J5" t="s">
        <v>3</v>
      </c>
      <c r="K5" s="1">
        <v>148.69999999999999</v>
      </c>
      <c r="L5" s="3" t="s">
        <v>50</v>
      </c>
    </row>
    <row r="6" spans="10:12" x14ac:dyDescent="0.2">
      <c r="J6" t="s">
        <v>4</v>
      </c>
      <c r="K6" s="1">
        <v>256.7</v>
      </c>
      <c r="L6" s="3" t="s">
        <v>50</v>
      </c>
    </row>
    <row r="7" spans="10:12" x14ac:dyDescent="0.2">
      <c r="J7" t="s">
        <v>5</v>
      </c>
      <c r="K7" s="1">
        <f>+K4-K5+K6</f>
        <v>6659.8242980000005</v>
      </c>
    </row>
    <row r="9" spans="10:12" x14ac:dyDescent="0.2">
      <c r="J9" t="s">
        <v>56</v>
      </c>
      <c r="K9">
        <v>2004</v>
      </c>
    </row>
    <row r="10" spans="10:12" x14ac:dyDescent="0.2">
      <c r="J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0304-5E2A-4FC8-B00C-C183E2A51B89}">
  <dimension ref="A1:DP43"/>
  <sheetViews>
    <sheetView tabSelected="1" zoomScale="85" zoomScaleNormal="85" workbookViewId="0">
      <pane xSplit="2" ySplit="3" topLeftCell="W4" activePane="bottomRight" state="frozen"/>
      <selection pane="topRight" activeCell="C1" sqref="C1"/>
      <selection pane="bottomLeft" activeCell="A3" sqref="A3"/>
      <selection pane="bottomRight" activeCell="AK22" sqref="AK22"/>
    </sheetView>
  </sheetViews>
  <sheetFormatPr defaultRowHeight="12.75" x14ac:dyDescent="0.2"/>
  <cols>
    <col min="1" max="1" width="5" bestFit="1" customWidth="1"/>
    <col min="2" max="2" width="15.7109375" bestFit="1" customWidth="1"/>
    <col min="3" max="3" width="9.140625" style="3"/>
    <col min="4" max="19" width="10.5703125" style="3" bestFit="1" customWidth="1"/>
    <col min="20" max="20" width="9.140625" style="3"/>
    <col min="22" max="35" width="10.5703125" bestFit="1" customWidth="1"/>
  </cols>
  <sheetData>
    <row r="1" spans="1:120" x14ac:dyDescent="0.2">
      <c r="A1" s="6" t="s">
        <v>6</v>
      </c>
    </row>
    <row r="2" spans="1:120" s="15" customFormat="1" x14ac:dyDescent="0.2">
      <c r="A2" s="14"/>
      <c r="C2" s="16"/>
      <c r="D2" s="16">
        <v>44742</v>
      </c>
      <c r="E2" s="16">
        <v>44834</v>
      </c>
      <c r="F2" s="16">
        <v>44926</v>
      </c>
      <c r="G2" s="16">
        <v>45016</v>
      </c>
      <c r="H2" s="16">
        <v>45107</v>
      </c>
      <c r="I2" s="16">
        <v>45199</v>
      </c>
      <c r="J2" s="16">
        <v>45291</v>
      </c>
      <c r="K2" s="16">
        <v>45382</v>
      </c>
      <c r="L2" s="16">
        <v>45473</v>
      </c>
      <c r="M2" s="16">
        <f>+I2+366</f>
        <v>45565</v>
      </c>
      <c r="N2" s="16">
        <f>+J2+366</f>
        <v>45657</v>
      </c>
      <c r="O2" s="16">
        <v>45747</v>
      </c>
      <c r="P2" s="16">
        <f>+L2+365</f>
        <v>45838</v>
      </c>
      <c r="Q2" s="16">
        <f>+M2+365</f>
        <v>45930</v>
      </c>
      <c r="R2" s="16">
        <f>+N2+365</f>
        <v>46022</v>
      </c>
      <c r="S2" s="16">
        <f>+O2+365</f>
        <v>46112</v>
      </c>
      <c r="T2" s="16"/>
      <c r="V2" s="15">
        <v>44651</v>
      </c>
      <c r="W2" s="15">
        <v>45016</v>
      </c>
      <c r="X2" s="15">
        <v>45382</v>
      </c>
      <c r="Y2" s="15">
        <f>+X2+365</f>
        <v>45747</v>
      </c>
      <c r="Z2" s="15">
        <f>+Y2+365</f>
        <v>46112</v>
      </c>
      <c r="AA2" s="15">
        <f>+Z2+365</f>
        <v>46477</v>
      </c>
      <c r="AB2" s="15">
        <f t="shared" ref="AB2:AI2" si="0">+AA2+365</f>
        <v>46842</v>
      </c>
      <c r="AC2" s="15">
        <f t="shared" si="0"/>
        <v>47207</v>
      </c>
      <c r="AD2" s="15">
        <f t="shared" si="0"/>
        <v>47572</v>
      </c>
      <c r="AE2" s="15">
        <f t="shared" si="0"/>
        <v>47937</v>
      </c>
      <c r="AF2" s="15">
        <f t="shared" si="0"/>
        <v>48302</v>
      </c>
      <c r="AG2" s="15">
        <f t="shared" si="0"/>
        <v>48667</v>
      </c>
      <c r="AH2" s="15">
        <f t="shared" si="0"/>
        <v>49032</v>
      </c>
      <c r="AI2" s="15">
        <f t="shared" si="0"/>
        <v>49397</v>
      </c>
    </row>
    <row r="3" spans="1:120" x14ac:dyDescent="0.2">
      <c r="D3" s="3" t="s">
        <v>29</v>
      </c>
      <c r="E3" s="3" t="s">
        <v>28</v>
      </c>
      <c r="F3" s="3" t="s">
        <v>27</v>
      </c>
      <c r="G3" s="3" t="s">
        <v>26</v>
      </c>
      <c r="H3" s="3" t="s">
        <v>25</v>
      </c>
      <c r="I3" s="3" t="s">
        <v>24</v>
      </c>
      <c r="J3" s="3" t="s">
        <v>23</v>
      </c>
      <c r="K3" s="3" t="s">
        <v>22</v>
      </c>
      <c r="L3" s="3" t="s">
        <v>21</v>
      </c>
      <c r="M3" s="3" t="s">
        <v>20</v>
      </c>
      <c r="N3" s="3" t="s">
        <v>19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</row>
    <row r="4" spans="1:120" s="8" customFormat="1" x14ac:dyDescent="0.2">
      <c r="B4" s="8" t="s">
        <v>7</v>
      </c>
      <c r="C4" s="9"/>
      <c r="D4" s="9">
        <v>122.601</v>
      </c>
      <c r="E4" s="9">
        <v>122.349</v>
      </c>
      <c r="F4" s="9">
        <v>146.53700000000001</v>
      </c>
      <c r="G4" s="9">
        <f>+W4-F4-E4-D4</f>
        <v>187.35700000000003</v>
      </c>
      <c r="H4" s="9">
        <v>216.339</v>
      </c>
      <c r="I4" s="9">
        <v>215.50700000000001</v>
      </c>
      <c r="J4" s="9">
        <v>270.94299999999998</v>
      </c>
      <c r="K4" s="9">
        <f>+X4-J4-I4-H4</f>
        <v>321.14299999999997</v>
      </c>
      <c r="L4" s="9">
        <v>324.47699999999998</v>
      </c>
      <c r="M4" s="9">
        <v>301.07499999999999</v>
      </c>
      <c r="N4" s="9">
        <v>355.3</v>
      </c>
      <c r="O4" s="9">
        <v>332.64499999999998</v>
      </c>
      <c r="P4" s="9">
        <f>+L4*1.2</f>
        <v>389.37239999999997</v>
      </c>
      <c r="Q4" s="9">
        <f>+M4*1.2</f>
        <v>361.28999999999996</v>
      </c>
      <c r="R4" s="9">
        <f>+N4*1.2</f>
        <v>426.36</v>
      </c>
      <c r="S4" s="9">
        <f>+O4*1.2</f>
        <v>399.17399999999998</v>
      </c>
      <c r="T4" s="9"/>
      <c r="V4" s="8">
        <v>392.15499999999997</v>
      </c>
      <c r="W4" s="8">
        <v>578.84400000000005</v>
      </c>
      <c r="X4" s="8">
        <v>1023.932</v>
      </c>
      <c r="Y4" s="8">
        <f>SUM(L4:O4)</f>
        <v>1313.4969999999998</v>
      </c>
      <c r="Z4" s="8">
        <f>SUM(P4:S4)</f>
        <v>1576.1963999999998</v>
      </c>
      <c r="AA4" s="8">
        <f>+Z4*1.2</f>
        <v>1891.4356799999996</v>
      </c>
      <c r="AB4" s="8">
        <f>+AA4*1.2</f>
        <v>2269.7228159999995</v>
      </c>
      <c r="AC4" s="8">
        <f>+AB4*1.2</f>
        <v>2723.6673791999992</v>
      </c>
      <c r="AD4" s="8">
        <f>+AC4*1.2</f>
        <v>3268.400855039999</v>
      </c>
      <c r="AE4" s="8">
        <f>+AD4*1.15</f>
        <v>3758.6609832959984</v>
      </c>
      <c r="AF4" s="8">
        <f>+AE4*1.15</f>
        <v>4322.4601307903977</v>
      </c>
      <c r="AG4" s="8">
        <f>+AF4*1.1</f>
        <v>4754.7061438694382</v>
      </c>
      <c r="AH4" s="8">
        <f>+AG4*1.1</f>
        <v>5230.1767582563825</v>
      </c>
      <c r="AI4" s="8">
        <f>+AH4*1.1</f>
        <v>5753.194434082021</v>
      </c>
    </row>
    <row r="5" spans="1:120" s="1" customFormat="1" x14ac:dyDescent="0.2">
      <c r="B5" s="1" t="s">
        <v>9</v>
      </c>
      <c r="C5" s="5"/>
      <c r="D5" s="5">
        <v>39.616</v>
      </c>
      <c r="E5" s="5">
        <v>42.789000000000001</v>
      </c>
      <c r="F5" s="5">
        <v>47.811999999999998</v>
      </c>
      <c r="G5" s="5">
        <f>+W5-F5-E5-D5</f>
        <v>58.231000000000023</v>
      </c>
      <c r="H5" s="5">
        <v>63.767000000000003</v>
      </c>
      <c r="I5" s="5">
        <v>63.142000000000003</v>
      </c>
      <c r="J5" s="5">
        <v>78.986000000000004</v>
      </c>
      <c r="K5" s="5">
        <f>+X5-J5-I5-H5</f>
        <v>93.941000000000031</v>
      </c>
      <c r="L5" s="5">
        <v>93.194000000000003</v>
      </c>
      <c r="M5" s="5">
        <v>87.016000000000005</v>
      </c>
      <c r="N5" s="5">
        <v>102.015</v>
      </c>
      <c r="O5" s="5">
        <v>95.605999999999995</v>
      </c>
      <c r="P5" s="5"/>
      <c r="Q5" s="5"/>
      <c r="R5" s="5"/>
      <c r="S5" s="5"/>
      <c r="T5" s="5"/>
      <c r="V5" s="1">
        <v>140.423</v>
      </c>
      <c r="W5" s="1">
        <v>188.44800000000001</v>
      </c>
      <c r="X5" s="1">
        <v>299.83600000000001</v>
      </c>
      <c r="Y5" s="1">
        <f>+Y4-Y6</f>
        <v>380.91413</v>
      </c>
      <c r="Z5" s="1">
        <f>+Z4-Z6</f>
        <v>457.09695600000009</v>
      </c>
      <c r="AA5" s="1">
        <f>+AA4-AA6</f>
        <v>548.51634719999993</v>
      </c>
      <c r="AB5" s="1">
        <f t="shared" ref="AB5:AD5" si="1">+AB4-AB6</f>
        <v>658.21961663999991</v>
      </c>
      <c r="AC5" s="1">
        <f t="shared" si="1"/>
        <v>789.86353996799994</v>
      </c>
      <c r="AD5" s="1">
        <f t="shared" si="1"/>
        <v>947.83624796159984</v>
      </c>
      <c r="AE5" s="1">
        <f t="shared" ref="AE5" si="2">+AE4-AE6</f>
        <v>1090.0116851558396</v>
      </c>
      <c r="AF5" s="1">
        <f t="shared" ref="AF5" si="3">+AF4-AF6</f>
        <v>1253.5134379292153</v>
      </c>
      <c r="AG5" s="1">
        <f t="shared" ref="AG5" si="4">+AG4-AG6</f>
        <v>1378.8647817221372</v>
      </c>
      <c r="AH5" s="1">
        <f t="shared" ref="AH5" si="5">+AH4-AH6</f>
        <v>1516.7512598943513</v>
      </c>
      <c r="AI5" s="1">
        <f t="shared" ref="AI5" si="6">+AI4-AI6</f>
        <v>1668.4263858837862</v>
      </c>
    </row>
    <row r="6" spans="1:120" s="1" customFormat="1" x14ac:dyDescent="0.2">
      <c r="B6" s="1" t="s">
        <v>10</v>
      </c>
      <c r="C6" s="5"/>
      <c r="D6" s="5">
        <f t="shared" ref="D6:L6" si="7">+D4-D5</f>
        <v>82.984999999999999</v>
      </c>
      <c r="E6" s="5">
        <f t="shared" si="7"/>
        <v>79.56</v>
      </c>
      <c r="F6" s="5">
        <f t="shared" si="7"/>
        <v>98.725000000000009</v>
      </c>
      <c r="G6" s="5">
        <f t="shared" si="7"/>
        <v>129.126</v>
      </c>
      <c r="H6" s="5">
        <f t="shared" si="7"/>
        <v>152.572</v>
      </c>
      <c r="I6" s="5">
        <f t="shared" si="7"/>
        <v>152.36500000000001</v>
      </c>
      <c r="J6" s="5">
        <f t="shared" si="7"/>
        <v>191.95699999999999</v>
      </c>
      <c r="K6" s="5">
        <f t="shared" si="7"/>
        <v>227.20199999999994</v>
      </c>
      <c r="L6" s="5">
        <f t="shared" si="7"/>
        <v>231.28299999999996</v>
      </c>
      <c r="M6" s="5">
        <f>+M4-M5</f>
        <v>214.05899999999997</v>
      </c>
      <c r="N6" s="5">
        <f>+N4-N5</f>
        <v>253.28500000000003</v>
      </c>
      <c r="O6" s="5">
        <f>+O4-O5</f>
        <v>237.03899999999999</v>
      </c>
      <c r="P6" s="5"/>
      <c r="Q6" s="5"/>
      <c r="R6" s="5"/>
      <c r="S6" s="5"/>
      <c r="T6" s="5"/>
      <c r="V6" s="1">
        <f>+V4-V5</f>
        <v>251.73199999999997</v>
      </c>
      <c r="W6" s="1">
        <f>+W4-W5</f>
        <v>390.39600000000007</v>
      </c>
      <c r="X6" s="1">
        <f>+X4-X5</f>
        <v>724.096</v>
      </c>
      <c r="Y6" s="1">
        <f>+Y4*0.71</f>
        <v>932.58286999999984</v>
      </c>
      <c r="Z6" s="1">
        <f>+Z4*0.71</f>
        <v>1119.0994439999997</v>
      </c>
      <c r="AA6" s="1">
        <f>+AA4*0.71</f>
        <v>1342.9193327999997</v>
      </c>
      <c r="AB6" s="1">
        <f t="shared" ref="AB6:AD6" si="8">+AB4*0.71</f>
        <v>1611.5031993599996</v>
      </c>
      <c r="AC6" s="1">
        <f t="shared" si="8"/>
        <v>1933.8038392319993</v>
      </c>
      <c r="AD6" s="1">
        <f t="shared" si="8"/>
        <v>2320.5646070783991</v>
      </c>
      <c r="AE6" s="1">
        <f t="shared" ref="AE6:AI6" si="9">+AE4*0.71</f>
        <v>2668.6492981401589</v>
      </c>
      <c r="AF6" s="1">
        <f t="shared" si="9"/>
        <v>3068.9466928611823</v>
      </c>
      <c r="AG6" s="1">
        <f t="shared" si="9"/>
        <v>3375.841362147301</v>
      </c>
      <c r="AH6" s="1">
        <f t="shared" si="9"/>
        <v>3713.4254983620312</v>
      </c>
      <c r="AI6" s="1">
        <f t="shared" si="9"/>
        <v>4084.7680481982347</v>
      </c>
    </row>
    <row r="7" spans="1:120" s="1" customFormat="1" x14ac:dyDescent="0.2">
      <c r="B7" s="1" t="s">
        <v>11</v>
      </c>
      <c r="C7" s="5"/>
      <c r="D7" s="5">
        <v>61.555</v>
      </c>
      <c r="E7" s="5">
        <v>64.183000000000007</v>
      </c>
      <c r="F7" s="5">
        <v>75.433999999999997</v>
      </c>
      <c r="G7" s="5">
        <f>+W7-F7-E7-D7</f>
        <v>121.08099999999996</v>
      </c>
      <c r="H7" s="5">
        <v>91.938999999999993</v>
      </c>
      <c r="I7" s="5">
        <v>112.18600000000001</v>
      </c>
      <c r="J7" s="5">
        <v>160.12100000000001</v>
      </c>
      <c r="K7" s="5">
        <f>+X7-J7-I7-H7</f>
        <v>210.172</v>
      </c>
      <c r="L7" s="5">
        <v>180.57499999999999</v>
      </c>
      <c r="M7" s="5">
        <v>186.14099999999999</v>
      </c>
      <c r="N7" s="5">
        <v>218.22</v>
      </c>
      <c r="O7" s="5">
        <v>192.72300000000001</v>
      </c>
      <c r="P7" s="5"/>
      <c r="Q7" s="5"/>
      <c r="R7" s="5"/>
      <c r="S7" s="5"/>
      <c r="T7" s="5"/>
      <c r="V7" s="1">
        <v>221.91200000000001</v>
      </c>
      <c r="W7" s="1">
        <v>322.25299999999999</v>
      </c>
      <c r="X7" s="1">
        <v>574.41800000000001</v>
      </c>
      <c r="Y7" s="1">
        <f>+X7*1.3</f>
        <v>746.74340000000007</v>
      </c>
      <c r="Z7" s="1">
        <f>+Y7*1.25</f>
        <v>933.42925000000014</v>
      </c>
      <c r="AA7" s="1">
        <f>+Z7*1.15</f>
        <v>1073.4436375</v>
      </c>
      <c r="AB7" s="1">
        <f t="shared" ref="AB7:AD7" si="10">+AA7*1.15</f>
        <v>1234.460183125</v>
      </c>
      <c r="AC7" s="1">
        <f t="shared" si="10"/>
        <v>1419.6292105937498</v>
      </c>
      <c r="AD7" s="1">
        <f t="shared" si="10"/>
        <v>1632.573592182812</v>
      </c>
      <c r="AE7" s="1">
        <f t="shared" ref="AE7:AI7" si="11">+AD7*1.15</f>
        <v>1877.4596310102338</v>
      </c>
      <c r="AF7" s="1">
        <f t="shared" si="11"/>
        <v>2159.0785756617688</v>
      </c>
      <c r="AG7" s="1">
        <f t="shared" si="11"/>
        <v>2482.9403620110338</v>
      </c>
      <c r="AH7" s="1">
        <f t="shared" si="11"/>
        <v>2855.3814163126885</v>
      </c>
      <c r="AI7" s="1">
        <f t="shared" si="11"/>
        <v>3283.6886287595917</v>
      </c>
    </row>
    <row r="8" spans="1:120" s="1" customFormat="1" x14ac:dyDescent="0.2">
      <c r="B8" s="1" t="s">
        <v>12</v>
      </c>
      <c r="C8" s="5"/>
      <c r="D8" s="5">
        <f t="shared" ref="D8:O8" si="12">+D6-D7</f>
        <v>21.43</v>
      </c>
      <c r="E8" s="5">
        <f t="shared" si="12"/>
        <v>15.376999999999995</v>
      </c>
      <c r="F8" s="5">
        <f t="shared" si="12"/>
        <v>23.291000000000011</v>
      </c>
      <c r="G8" s="5">
        <f t="shared" si="12"/>
        <v>8.0450000000000443</v>
      </c>
      <c r="H8" s="5">
        <f t="shared" si="12"/>
        <v>60.63300000000001</v>
      </c>
      <c r="I8" s="5">
        <f t="shared" si="12"/>
        <v>40.179000000000002</v>
      </c>
      <c r="J8" s="5">
        <f t="shared" si="12"/>
        <v>31.835999999999984</v>
      </c>
      <c r="K8" s="5">
        <f t="shared" si="12"/>
        <v>17.029999999999944</v>
      </c>
      <c r="L8" s="5">
        <f t="shared" si="12"/>
        <v>50.70799999999997</v>
      </c>
      <c r="M8" s="5">
        <f t="shared" si="12"/>
        <v>27.917999999999978</v>
      </c>
      <c r="N8" s="5">
        <f t="shared" si="12"/>
        <v>35.065000000000026</v>
      </c>
      <c r="O8" s="5">
        <f t="shared" si="12"/>
        <v>44.315999999999974</v>
      </c>
      <c r="P8" s="5"/>
      <c r="Q8" s="5"/>
      <c r="R8" s="5"/>
      <c r="S8" s="5"/>
      <c r="T8" s="5"/>
      <c r="V8" s="1">
        <f t="shared" ref="V8:AA8" si="13">+V6-V7</f>
        <v>29.819999999999965</v>
      </c>
      <c r="W8" s="1">
        <f t="shared" si="13"/>
        <v>68.143000000000086</v>
      </c>
      <c r="X8" s="1">
        <f t="shared" si="13"/>
        <v>149.678</v>
      </c>
      <c r="Y8" s="1">
        <f>+Y6-Y7</f>
        <v>185.83946999999978</v>
      </c>
      <c r="Z8" s="1">
        <f t="shared" si="13"/>
        <v>185.67019399999958</v>
      </c>
      <c r="AA8" s="1">
        <f t="shared" si="13"/>
        <v>269.47569529999964</v>
      </c>
      <c r="AB8" s="1">
        <f t="shared" ref="AB8:AD8" si="14">+AB6-AB7</f>
        <v>377.04301623499964</v>
      </c>
      <c r="AC8" s="1">
        <f t="shared" si="14"/>
        <v>514.17462863824949</v>
      </c>
      <c r="AD8" s="1">
        <f t="shared" si="14"/>
        <v>687.99101489558711</v>
      </c>
      <c r="AE8" s="1">
        <f t="shared" ref="AE8:AI8" si="15">+AE6-AE7</f>
        <v>791.18966712992506</v>
      </c>
      <c r="AF8" s="1">
        <f t="shared" si="15"/>
        <v>909.86811719941352</v>
      </c>
      <c r="AG8" s="1">
        <f t="shared" si="15"/>
        <v>892.90100013626716</v>
      </c>
      <c r="AH8" s="1">
        <f t="shared" si="15"/>
        <v>858.04408204934271</v>
      </c>
      <c r="AI8" s="1">
        <f t="shared" si="15"/>
        <v>801.07941943864307</v>
      </c>
    </row>
    <row r="9" spans="1:120" s="1" customFormat="1" x14ac:dyDescent="0.2">
      <c r="B9" s="1" t="s">
        <v>13</v>
      </c>
      <c r="C9" s="5"/>
      <c r="D9" s="5">
        <f>-1.663-0.663</f>
        <v>-2.3260000000000001</v>
      </c>
      <c r="E9" s="5">
        <f>-1.262-0.786</f>
        <v>-2.048</v>
      </c>
      <c r="F9" s="5">
        <f>0.73-0.463</f>
        <v>0.26699999999999996</v>
      </c>
      <c r="G9" s="5">
        <f>+W9-F9-E9-D9</f>
        <v>0.21399999999999997</v>
      </c>
      <c r="H9" s="5">
        <f>0.341+0.399</f>
        <v>0.74</v>
      </c>
      <c r="I9" s="5">
        <f>-1.062+0.623</f>
        <v>-0.43900000000000006</v>
      </c>
      <c r="J9" s="5">
        <f>2.565-3.985</f>
        <v>-1.42</v>
      </c>
      <c r="K9" s="5">
        <f>+X9-J9-I9-H9</f>
        <v>-4.694</v>
      </c>
      <c r="L9" s="5">
        <f>0.187-3.665</f>
        <v>-3.4780000000000002</v>
      </c>
      <c r="M9" s="5">
        <v>3.7909999999999999</v>
      </c>
      <c r="N9" s="5">
        <f>-5.278-3.527</f>
        <v>-8.8049999999999997</v>
      </c>
      <c r="O9" s="5">
        <f>2.594-2.86</f>
        <v>-0.26600000000000001</v>
      </c>
      <c r="P9" s="5"/>
      <c r="Q9" s="5"/>
      <c r="R9" s="5"/>
      <c r="S9" s="5"/>
      <c r="T9" s="5"/>
      <c r="V9" s="1">
        <f>-1.438-2.441</f>
        <v>-3.8789999999999996</v>
      </c>
      <c r="W9" s="1">
        <f>-1.875-2.018</f>
        <v>-3.8929999999999998</v>
      </c>
      <c r="X9" s="1">
        <f>1.21-7.023</f>
        <v>-5.8129999999999997</v>
      </c>
      <c r="Y9" s="1">
        <f>+X9</f>
        <v>-5.8129999999999997</v>
      </c>
      <c r="Z9" s="1">
        <f>+Y9</f>
        <v>-5.8129999999999997</v>
      </c>
      <c r="AA9" s="1">
        <f>+Z9</f>
        <v>-5.8129999999999997</v>
      </c>
      <c r="AB9" s="1">
        <f t="shared" ref="AB9:AD9" si="16">+AA9</f>
        <v>-5.8129999999999997</v>
      </c>
      <c r="AC9" s="1">
        <f t="shared" si="16"/>
        <v>-5.8129999999999997</v>
      </c>
      <c r="AD9" s="1">
        <f t="shared" si="16"/>
        <v>-5.8129999999999997</v>
      </c>
      <c r="AE9" s="1">
        <f t="shared" ref="AE9:AI9" si="17">+AD9</f>
        <v>-5.8129999999999997</v>
      </c>
      <c r="AF9" s="1">
        <f t="shared" si="17"/>
        <v>-5.8129999999999997</v>
      </c>
      <c r="AG9" s="1">
        <f t="shared" si="17"/>
        <v>-5.8129999999999997</v>
      </c>
      <c r="AH9" s="1">
        <f t="shared" si="17"/>
        <v>-5.8129999999999997</v>
      </c>
      <c r="AI9" s="1">
        <f t="shared" si="17"/>
        <v>-5.8129999999999997</v>
      </c>
    </row>
    <row r="10" spans="1:120" s="1" customFormat="1" x14ac:dyDescent="0.2">
      <c r="B10" s="1" t="s">
        <v>14</v>
      </c>
      <c r="C10" s="5"/>
      <c r="D10" s="5">
        <f t="shared" ref="D10:O10" si="18">+D8+D9</f>
        <v>19.103999999999999</v>
      </c>
      <c r="E10" s="5">
        <f t="shared" si="18"/>
        <v>13.328999999999995</v>
      </c>
      <c r="F10" s="5">
        <f t="shared" si="18"/>
        <v>23.55800000000001</v>
      </c>
      <c r="G10" s="5">
        <f t="shared" si="18"/>
        <v>8.2590000000000447</v>
      </c>
      <c r="H10" s="5">
        <f t="shared" si="18"/>
        <v>61.373000000000012</v>
      </c>
      <c r="I10" s="5">
        <f t="shared" si="18"/>
        <v>39.74</v>
      </c>
      <c r="J10" s="5">
        <f t="shared" si="18"/>
        <v>30.415999999999983</v>
      </c>
      <c r="K10" s="5">
        <f t="shared" si="18"/>
        <v>12.335999999999945</v>
      </c>
      <c r="L10" s="5">
        <f t="shared" si="18"/>
        <v>47.229999999999968</v>
      </c>
      <c r="M10" s="5">
        <f t="shared" si="18"/>
        <v>31.708999999999978</v>
      </c>
      <c r="N10" s="5">
        <f t="shared" si="18"/>
        <v>26.260000000000026</v>
      </c>
      <c r="O10" s="5">
        <f t="shared" si="18"/>
        <v>44.049999999999976</v>
      </c>
      <c r="P10" s="5"/>
      <c r="Q10" s="5"/>
      <c r="R10" s="5"/>
      <c r="S10" s="5"/>
      <c r="T10" s="5"/>
      <c r="V10" s="1">
        <f t="shared" ref="V10:AA10" si="19">+V8+V9</f>
        <v>25.940999999999967</v>
      </c>
      <c r="W10" s="1">
        <f t="shared" si="19"/>
        <v>64.250000000000085</v>
      </c>
      <c r="X10" s="1">
        <f t="shared" si="19"/>
        <v>143.86500000000001</v>
      </c>
      <c r="Y10" s="1">
        <f>+Y8+Y9</f>
        <v>180.02646999999979</v>
      </c>
      <c r="Z10" s="1">
        <f t="shared" si="19"/>
        <v>179.85719399999959</v>
      </c>
      <c r="AA10" s="1">
        <f t="shared" si="19"/>
        <v>263.66269529999965</v>
      </c>
      <c r="AB10" s="1">
        <f t="shared" ref="AB10:AD10" si="20">+AB8+AB9</f>
        <v>371.23001623499965</v>
      </c>
      <c r="AC10" s="1">
        <f t="shared" si="20"/>
        <v>508.3616286382495</v>
      </c>
      <c r="AD10" s="1">
        <f t="shared" si="20"/>
        <v>682.17801489558713</v>
      </c>
      <c r="AE10" s="1">
        <f t="shared" ref="AE10:AI10" si="21">+AE8+AE9</f>
        <v>785.37666712992507</v>
      </c>
      <c r="AF10" s="1">
        <f t="shared" si="21"/>
        <v>904.05511719941353</v>
      </c>
      <c r="AG10" s="1">
        <f t="shared" si="21"/>
        <v>887.08800013626717</v>
      </c>
      <c r="AH10" s="1">
        <f t="shared" si="21"/>
        <v>852.23108204934272</v>
      </c>
      <c r="AI10" s="1">
        <f t="shared" si="21"/>
        <v>795.26641943864308</v>
      </c>
    </row>
    <row r="11" spans="1:120" s="1" customFormat="1" x14ac:dyDescent="0.2">
      <c r="B11" s="1" t="s">
        <v>15</v>
      </c>
      <c r="C11" s="5"/>
      <c r="D11" s="5">
        <v>4.6349999999999998</v>
      </c>
      <c r="E11" s="5">
        <v>1.619</v>
      </c>
      <c r="F11" s="5">
        <v>4.2770000000000001</v>
      </c>
      <c r="G11" s="5">
        <f>+W11-F11-E11-D11</f>
        <v>-7.9870000000000001</v>
      </c>
      <c r="H11" s="5">
        <v>6.6760000000000002</v>
      </c>
      <c r="I11" s="5">
        <v>6.4690000000000003</v>
      </c>
      <c r="J11" s="5">
        <v>3.528</v>
      </c>
      <c r="K11" s="5">
        <f>+X11-J11-I11-H11</f>
        <v>-3.346000000000001</v>
      </c>
      <c r="L11" s="5">
        <v>-0.32500000000000001</v>
      </c>
      <c r="M11" s="5">
        <v>8.9280000000000008</v>
      </c>
      <c r="N11" s="5">
        <v>9.0190000000000001</v>
      </c>
      <c r="O11" s="5">
        <v>15.784000000000001</v>
      </c>
      <c r="P11" s="5"/>
      <c r="Q11" s="5"/>
      <c r="R11" s="5"/>
      <c r="S11" s="5"/>
      <c r="T11" s="5"/>
      <c r="V11" s="1">
        <v>3.661</v>
      </c>
      <c r="W11" s="1">
        <v>2.544</v>
      </c>
      <c r="X11" s="1">
        <v>13.327</v>
      </c>
      <c r="Y11" s="1">
        <f>+Y10*0.1</f>
        <v>18.002646999999978</v>
      </c>
      <c r="Z11" s="1">
        <f>+Z10*0.15</f>
        <v>26.978579099999937</v>
      </c>
      <c r="AA11" s="1">
        <f>+AA10*0.2</f>
        <v>52.732539059999937</v>
      </c>
      <c r="AB11" s="1">
        <f t="shared" ref="AB11:AD11" si="22">+AB10*0.2</f>
        <v>74.246003246999933</v>
      </c>
      <c r="AC11" s="1">
        <f t="shared" si="22"/>
        <v>101.67232572764991</v>
      </c>
      <c r="AD11" s="1">
        <f t="shared" si="22"/>
        <v>136.43560297911742</v>
      </c>
      <c r="AE11" s="1">
        <f t="shared" ref="AE11" si="23">+AE10*0.2</f>
        <v>157.07533342598504</v>
      </c>
      <c r="AF11" s="1">
        <f t="shared" ref="AF11" si="24">+AF10*0.2</f>
        <v>180.81102343988272</v>
      </c>
      <c r="AG11" s="1">
        <f t="shared" ref="AG11" si="25">+AG10*0.2</f>
        <v>177.41760002725346</v>
      </c>
      <c r="AH11" s="1">
        <f t="shared" ref="AH11" si="26">+AH10*0.2</f>
        <v>170.44621640986855</v>
      </c>
      <c r="AI11" s="1">
        <f t="shared" ref="AI11" si="27">+AI10*0.2</f>
        <v>159.05328388772864</v>
      </c>
    </row>
    <row r="12" spans="1:120" s="1" customFormat="1" x14ac:dyDescent="0.2">
      <c r="B12" s="1" t="s">
        <v>16</v>
      </c>
      <c r="C12" s="5"/>
      <c r="D12" s="5">
        <f t="shared" ref="D12:O12" si="28">+D10-D11</f>
        <v>14.468999999999999</v>
      </c>
      <c r="E12" s="5">
        <f t="shared" si="28"/>
        <v>11.709999999999996</v>
      </c>
      <c r="F12" s="5">
        <f t="shared" si="28"/>
        <v>19.281000000000009</v>
      </c>
      <c r="G12" s="5">
        <f t="shared" si="28"/>
        <v>16.246000000000045</v>
      </c>
      <c r="H12" s="5">
        <f t="shared" si="28"/>
        <v>54.69700000000001</v>
      </c>
      <c r="I12" s="5">
        <f t="shared" si="28"/>
        <v>33.271000000000001</v>
      </c>
      <c r="J12" s="5">
        <f t="shared" si="28"/>
        <v>26.887999999999984</v>
      </c>
      <c r="K12" s="5">
        <f t="shared" si="28"/>
        <v>15.681999999999945</v>
      </c>
      <c r="L12" s="5">
        <f t="shared" si="28"/>
        <v>47.554999999999971</v>
      </c>
      <c r="M12" s="5">
        <f t="shared" si="28"/>
        <v>22.780999999999977</v>
      </c>
      <c r="N12" s="5">
        <f t="shared" si="28"/>
        <v>17.241000000000028</v>
      </c>
      <c r="O12" s="5">
        <f t="shared" si="28"/>
        <v>28.265999999999977</v>
      </c>
      <c r="P12" s="5"/>
      <c r="Q12" s="5"/>
      <c r="R12" s="5"/>
      <c r="S12" s="5"/>
      <c r="T12" s="5"/>
      <c r="V12" s="1">
        <f t="shared" ref="V12:AA12" si="29">+V10-V11</f>
        <v>22.279999999999966</v>
      </c>
      <c r="W12" s="1">
        <f t="shared" si="29"/>
        <v>61.706000000000088</v>
      </c>
      <c r="X12" s="1">
        <f t="shared" si="29"/>
        <v>130.53800000000001</v>
      </c>
      <c r="Y12" s="1">
        <f t="shared" si="29"/>
        <v>162.02382299999982</v>
      </c>
      <c r="Z12" s="1">
        <f t="shared" si="29"/>
        <v>152.87861489999966</v>
      </c>
      <c r="AA12" s="1">
        <f t="shared" si="29"/>
        <v>210.93015623999972</v>
      </c>
      <c r="AB12" s="1">
        <f t="shared" ref="AB12:AD12" si="30">+AB10-AB11</f>
        <v>296.98401298799973</v>
      </c>
      <c r="AC12" s="1">
        <f t="shared" si="30"/>
        <v>406.68930291059962</v>
      </c>
      <c r="AD12" s="1">
        <f t="shared" si="30"/>
        <v>545.74241191646968</v>
      </c>
      <c r="AE12" s="1">
        <f t="shared" ref="AE12:AI12" si="31">+AE10-AE11</f>
        <v>628.30133370394003</v>
      </c>
      <c r="AF12" s="1">
        <f t="shared" si="31"/>
        <v>723.24409375953087</v>
      </c>
      <c r="AG12" s="1">
        <f t="shared" si="31"/>
        <v>709.67040010901371</v>
      </c>
      <c r="AH12" s="1">
        <f t="shared" si="31"/>
        <v>681.78486563947422</v>
      </c>
      <c r="AI12" s="1">
        <f t="shared" si="31"/>
        <v>636.21313555091444</v>
      </c>
      <c r="AJ12" s="1">
        <f>AI12*(1+$AL$16)</f>
        <v>648.9373982619328</v>
      </c>
      <c r="AK12" s="1">
        <f>AJ12*(1+$AL$16)</f>
        <v>661.91614622717145</v>
      </c>
      <c r="AL12" s="1">
        <f>AK12*(1+$AL$16)</f>
        <v>675.15446915171492</v>
      </c>
      <c r="AM12" s="1">
        <f>AL12*(1+$AL$16)</f>
        <v>688.65755853474923</v>
      </c>
      <c r="AN12" s="1">
        <f>AM12*(1+$AL$16)</f>
        <v>702.4307097054442</v>
      </c>
      <c r="AO12" s="1">
        <f>AN12*(1+$AL$16)</f>
        <v>716.47932389955315</v>
      </c>
      <c r="AP12" s="1">
        <f>AO12*(1+$AL$16)</f>
        <v>730.80891037754418</v>
      </c>
      <c r="AQ12" s="1">
        <f>AP12*(1+$AL$16)</f>
        <v>745.42508858509507</v>
      </c>
      <c r="AR12" s="1">
        <f>AQ12*(1+$AL$16)</f>
        <v>760.333590356797</v>
      </c>
      <c r="AS12" s="1">
        <f>AR12*(1+$AL$16)</f>
        <v>775.54026216393299</v>
      </c>
      <c r="AT12" s="1">
        <f>AS12*(1+$AL$16)</f>
        <v>791.05106740721169</v>
      </c>
      <c r="AU12" s="1">
        <f>AT12*(1+$AL$16)</f>
        <v>806.87208875535589</v>
      </c>
      <c r="AV12" s="1">
        <f>AU12*(1+$AL$16)</f>
        <v>823.00953053046305</v>
      </c>
      <c r="AW12" s="1">
        <f>AV12*(1+$AL$16)</f>
        <v>839.46972114107234</v>
      </c>
      <c r="AX12" s="1">
        <f>AW12*(1+$AL$16)</f>
        <v>856.25911556389383</v>
      </c>
      <c r="AY12" s="1">
        <f>AX12*(1+$AL$16)</f>
        <v>873.38429787517168</v>
      </c>
      <c r="AZ12" s="1">
        <f>AY12*(1+$AL$16)</f>
        <v>890.85198383267516</v>
      </c>
      <c r="BA12" s="1">
        <f>AZ12*(1+$AL$16)</f>
        <v>908.66902350932867</v>
      </c>
      <c r="BB12" s="1">
        <f>BA12*(1+$AL$16)</f>
        <v>926.84240397951521</v>
      </c>
      <c r="BC12" s="1">
        <f>BB12*(1+$AL$16)</f>
        <v>945.37925205910551</v>
      </c>
      <c r="BD12" s="1">
        <f>BC12*(1+$AL$16)</f>
        <v>964.28683710028758</v>
      </c>
      <c r="BE12" s="1">
        <f>BD12*(1+$AL$16)</f>
        <v>983.57257384229331</v>
      </c>
      <c r="BF12" s="1">
        <f>BE12*(1+$AL$16)</f>
        <v>1003.2440253191392</v>
      </c>
      <c r="BG12" s="1">
        <f>BF12*(1+$AL$16)</f>
        <v>1023.3089058255219</v>
      </c>
      <c r="BH12" s="1">
        <f>BG12*(1+$AL$16)</f>
        <v>1043.7750839420323</v>
      </c>
      <c r="BI12" s="1">
        <f>BH12*(1+$AL$16)</f>
        <v>1064.650585620873</v>
      </c>
      <c r="BJ12" s="1">
        <f>BI12*(1+$AL$16)</f>
        <v>1085.9435973332904</v>
      </c>
      <c r="BK12" s="1">
        <f>BJ12*(1+$AL$16)</f>
        <v>1107.6624692799562</v>
      </c>
      <c r="BL12" s="1">
        <f>BK12*(1+$AL$16)</f>
        <v>1129.8157186655553</v>
      </c>
      <c r="BM12" s="1">
        <f>BL12*(1+$AL$16)</f>
        <v>1152.4120330388664</v>
      </c>
      <c r="BN12" s="1">
        <f>BM12*(1+$AL$16)</f>
        <v>1175.4602736996437</v>
      </c>
      <c r="BO12" s="1">
        <f>BN12*(1+$AL$16)</f>
        <v>1198.9694791736367</v>
      </c>
      <c r="BP12" s="1">
        <f>BO12*(1+$AL$16)</f>
        <v>1222.9488687571095</v>
      </c>
      <c r="BQ12" s="1">
        <f>BP12*(1+$AL$16)</f>
        <v>1247.4078461322517</v>
      </c>
      <c r="BR12" s="1">
        <f>BQ12*(1+$AL$16)</f>
        <v>1272.3560030548967</v>
      </c>
      <c r="BS12" s="1">
        <f>BR12*(1+$AL$16)</f>
        <v>1297.8031231159946</v>
      </c>
      <c r="BT12" s="1">
        <f>BS12*(1+$AL$16)</f>
        <v>1323.7591855783146</v>
      </c>
      <c r="BU12" s="1">
        <f>BT12*(1+$AL$16)</f>
        <v>1350.234369289881</v>
      </c>
      <c r="BV12" s="1">
        <f>BU12*(1+$AL$16)</f>
        <v>1377.2390566756787</v>
      </c>
      <c r="BW12" s="1">
        <f>BV12*(1+$AL$16)</f>
        <v>1404.7838378091924</v>
      </c>
      <c r="BX12" s="1">
        <f>BW12*(1+$AL$16)</f>
        <v>1432.8795145653762</v>
      </c>
      <c r="BY12" s="1">
        <f>BX12*(1+$AL$16)</f>
        <v>1461.5371048566838</v>
      </c>
      <c r="BZ12" s="1">
        <f>BY12*(1+$AL$16)</f>
        <v>1490.7678469538175</v>
      </c>
      <c r="CA12" s="1">
        <f>BZ12*(1+$AL$16)</f>
        <v>1520.5832038928938</v>
      </c>
      <c r="CB12" s="1">
        <f>CA12*(1+$AL$16)</f>
        <v>1550.9948679707518</v>
      </c>
      <c r="CC12" s="1">
        <f>CB12*(1+$AL$16)</f>
        <v>1582.0147653301669</v>
      </c>
      <c r="CD12" s="1">
        <f>CC12*(1+$AL$16)</f>
        <v>1613.6550606367703</v>
      </c>
      <c r="CE12" s="1">
        <f>CD12*(1+$AL$16)</f>
        <v>1645.9281618495056</v>
      </c>
      <c r="CF12" s="1">
        <f>CE12*(1+$AL$16)</f>
        <v>1678.8467250864958</v>
      </c>
      <c r="CG12" s="1">
        <f>CF12*(1+$AL$16)</f>
        <v>1712.4236595882257</v>
      </c>
      <c r="CH12" s="1">
        <f>CG12*(1+$AL$16)</f>
        <v>1746.6721327799903</v>
      </c>
      <c r="CI12" s="1">
        <f>CH12*(1+$AL$16)</f>
        <v>1781.6055754355903</v>
      </c>
      <c r="CJ12" s="1">
        <f>CI12*(1+$AL$16)</f>
        <v>1817.2376869443021</v>
      </c>
      <c r="CK12" s="1">
        <f>CJ12*(1+$AL$16)</f>
        <v>1853.5824406831882</v>
      </c>
      <c r="CL12" s="1">
        <f>CK12*(1+$AL$16)</f>
        <v>1890.6540894968521</v>
      </c>
      <c r="CM12" s="1">
        <f>CL12*(1+$AL$16)</f>
        <v>1928.4671712867892</v>
      </c>
      <c r="CN12" s="1">
        <f>CM12*(1+$AL$16)</f>
        <v>1967.0365147125249</v>
      </c>
      <c r="CO12" s="1">
        <f>CN12*(1+$AL$16)</f>
        <v>2006.3772450067754</v>
      </c>
      <c r="CP12" s="1">
        <f>CO12*(1+$AL$16)</f>
        <v>2046.5047899069109</v>
      </c>
      <c r="CQ12" s="1">
        <f>CP12*(1+$AL$16)</f>
        <v>2087.4348857050491</v>
      </c>
      <c r="CR12" s="1">
        <f>CQ12*(1+$AL$16)</f>
        <v>2129.1835834191502</v>
      </c>
      <c r="CS12" s="1">
        <f>CR12*(1+$AL$16)</f>
        <v>2171.7672550875332</v>
      </c>
      <c r="CT12" s="1">
        <f>CS12*(1+$AL$16)</f>
        <v>2215.2026001892837</v>
      </c>
      <c r="CU12" s="1">
        <f>CT12*(1+$AL$16)</f>
        <v>2259.5066521930694</v>
      </c>
      <c r="CV12" s="1">
        <f>CU12*(1+$AL$16)</f>
        <v>2304.6967852369307</v>
      </c>
      <c r="CW12" s="1">
        <f>CV12*(1+$AL$16)</f>
        <v>2350.7907209416694</v>
      </c>
      <c r="CX12" s="1">
        <f>CW12*(1+$AL$16)</f>
        <v>2397.8065353605029</v>
      </c>
      <c r="CY12" s="1">
        <f>CX12*(1+$AL$16)</f>
        <v>2445.7626660677129</v>
      </c>
      <c r="CZ12" s="1">
        <f>CY12*(1+$AL$16)</f>
        <v>2494.677919389067</v>
      </c>
      <c r="DA12" s="1">
        <f>CZ12*(1+$AL$16)</f>
        <v>2544.5714777768485</v>
      </c>
      <c r="DB12" s="1">
        <f>DA12*(1+$AL$16)</f>
        <v>2595.4629073323854</v>
      </c>
      <c r="DC12" s="1">
        <f>DB12*(1+$AL$16)</f>
        <v>2647.3721654790334</v>
      </c>
      <c r="DD12" s="1">
        <f>DC12*(1+$AL$16)</f>
        <v>2700.319608788614</v>
      </c>
      <c r="DE12" s="1">
        <f>DD12*(1+$AL$16)</f>
        <v>2754.3260009643864</v>
      </c>
      <c r="DF12" s="1">
        <f>DE12*(1+$AL$16)</f>
        <v>2809.4125209836743</v>
      </c>
      <c r="DG12" s="1">
        <f>DF12*(1+$AL$16)</f>
        <v>2865.6007714033481</v>
      </c>
      <c r="DH12" s="1">
        <f>DG12*(1+$AL$16)</f>
        <v>2922.9127868314149</v>
      </c>
      <c r="DI12" s="1">
        <f>DH12*(1+$AL$16)</f>
        <v>2981.3710425680433</v>
      </c>
      <c r="DJ12" s="1">
        <f>DI12*(1+$AL$16)</f>
        <v>3040.9984634194043</v>
      </c>
      <c r="DK12" s="1">
        <f>DJ12*(1+$AL$16)</f>
        <v>3101.8184326877922</v>
      </c>
      <c r="DL12" s="1">
        <f>DK12*(1+$AL$16)</f>
        <v>3163.854801341548</v>
      </c>
      <c r="DM12" s="1">
        <f>DL12*(1+$AL$16)</f>
        <v>3227.1318973683788</v>
      </c>
      <c r="DN12" s="1">
        <f>DM12*(1+$AL$16)</f>
        <v>3291.6745353157462</v>
      </c>
      <c r="DO12" s="1">
        <f>DN12*(1+$AL$16)</f>
        <v>3357.5080260220611</v>
      </c>
      <c r="DP12" s="1">
        <f>DO12*(1+$AL$16)</f>
        <v>3424.6581865425023</v>
      </c>
    </row>
    <row r="13" spans="1:120" x14ac:dyDescent="0.2">
      <c r="B13" t="s">
        <v>8</v>
      </c>
      <c r="D13" s="4">
        <f t="shared" ref="D13:O13" si="32">+D12/D14</f>
        <v>0.26876701085834326</v>
      </c>
      <c r="E13" s="4">
        <f t="shared" si="32"/>
        <v>0.21276397040752959</v>
      </c>
      <c r="F13" s="4">
        <f t="shared" si="32"/>
        <v>0.34528926746723437</v>
      </c>
      <c r="G13" s="4">
        <f t="shared" si="32"/>
        <v>0.30213603069431372</v>
      </c>
      <c r="H13" s="4">
        <f t="shared" si="32"/>
        <v>0.95664482236999637</v>
      </c>
      <c r="I13" s="4">
        <f t="shared" si="32"/>
        <v>0.57924913740260997</v>
      </c>
      <c r="J13" s="4">
        <f t="shared" si="32"/>
        <v>0.46334562666298323</v>
      </c>
      <c r="K13" s="4">
        <f t="shared" si="32"/>
        <v>0.28213327441913583</v>
      </c>
      <c r="L13" s="4">
        <f t="shared" si="32"/>
        <v>0.81219204527275057</v>
      </c>
      <c r="M13" s="4">
        <f t="shared" si="32"/>
        <v>0.38953513126056583</v>
      </c>
      <c r="N13" s="4">
        <f t="shared" si="32"/>
        <v>0.29545927877603506</v>
      </c>
      <c r="O13" s="4">
        <f t="shared" si="32"/>
        <v>0.48750666298774381</v>
      </c>
      <c r="P13" s="4"/>
      <c r="Q13" s="4"/>
      <c r="R13" s="4"/>
      <c r="V13" s="2">
        <f t="shared" ref="V13:AA13" si="33">+V12/V14</f>
        <v>0.415250944551455</v>
      </c>
      <c r="W13" s="2">
        <f t="shared" si="33"/>
        <v>1.1475813067846423</v>
      </c>
      <c r="X13" s="2">
        <f t="shared" si="33"/>
        <v>2.3484959428724199</v>
      </c>
      <c r="Y13" s="2">
        <f>+Y12/Y14</f>
        <v>2.9149541969708332</v>
      </c>
      <c r="Z13" s="2">
        <f t="shared" si="33"/>
        <v>2.7504236838667993</v>
      </c>
      <c r="AA13" s="2">
        <f t="shared" si="33"/>
        <v>3.7948230872166335</v>
      </c>
      <c r="AB13" s="2">
        <f t="shared" ref="AB13:AD13" si="34">+AB12/AB14</f>
        <v>5.3430093122331224</v>
      </c>
      <c r="AC13" s="2">
        <f t="shared" si="34"/>
        <v>7.3167060771204993</v>
      </c>
      <c r="AD13" s="2">
        <f t="shared" si="34"/>
        <v>9.8183964840830864</v>
      </c>
      <c r="AE13" s="2">
        <f t="shared" ref="AE13:AI13" si="35">+AE12/AE14</f>
        <v>11.303705688037455</v>
      </c>
      <c r="AF13" s="2">
        <f t="shared" si="35"/>
        <v>13.01181127258498</v>
      </c>
      <c r="AG13" s="2">
        <f t="shared" si="35"/>
        <v>12.767608324263168</v>
      </c>
      <c r="AH13" s="2">
        <f t="shared" si="35"/>
        <v>12.265922496637936</v>
      </c>
      <c r="AI13" s="2">
        <f t="shared" si="35"/>
        <v>11.446046114108254</v>
      </c>
    </row>
    <row r="14" spans="1:120" x14ac:dyDescent="0.2">
      <c r="B14" t="s">
        <v>1</v>
      </c>
      <c r="D14" s="5">
        <v>53.834732000000002</v>
      </c>
      <c r="E14" s="5">
        <v>55.037514000000002</v>
      </c>
      <c r="F14" s="5">
        <v>55.840136999999999</v>
      </c>
      <c r="G14" s="5">
        <f>+W14</f>
        <v>53.770482000000001</v>
      </c>
      <c r="H14" s="5">
        <v>57.175870000000003</v>
      </c>
      <c r="I14" s="5">
        <v>57.438152000000002</v>
      </c>
      <c r="J14" s="5">
        <v>58.030115000000002</v>
      </c>
      <c r="K14" s="5">
        <f>+X14</f>
        <v>55.583660000000002</v>
      </c>
      <c r="L14" s="5">
        <v>58.551423</v>
      </c>
      <c r="M14" s="5">
        <v>58.482529999999997</v>
      </c>
      <c r="N14" s="5">
        <v>58.353219000000003</v>
      </c>
      <c r="O14" s="5">
        <v>57.980746000000003</v>
      </c>
      <c r="P14" s="5"/>
      <c r="Q14" s="5"/>
      <c r="R14" s="5"/>
      <c r="V14" s="1">
        <v>53.654302999999999</v>
      </c>
      <c r="W14" s="1">
        <v>53.770482000000001</v>
      </c>
      <c r="X14" s="1">
        <v>55.583660000000002</v>
      </c>
      <c r="Y14" s="1">
        <f>+X14</f>
        <v>55.583660000000002</v>
      </c>
      <c r="Z14" s="1">
        <f>+Y14</f>
        <v>55.583660000000002</v>
      </c>
      <c r="AA14" s="1">
        <f>+Z14</f>
        <v>55.583660000000002</v>
      </c>
      <c r="AB14" s="1">
        <f t="shared" ref="AB14:AD14" si="36">+AA14</f>
        <v>55.583660000000002</v>
      </c>
      <c r="AC14" s="1">
        <f t="shared" si="36"/>
        <v>55.583660000000002</v>
      </c>
      <c r="AD14" s="1">
        <f t="shared" si="36"/>
        <v>55.583660000000002</v>
      </c>
      <c r="AE14" s="1">
        <f t="shared" ref="AE14:AI14" si="37">+AD14</f>
        <v>55.583660000000002</v>
      </c>
      <c r="AF14" s="1">
        <f t="shared" si="37"/>
        <v>55.583660000000002</v>
      </c>
      <c r="AG14" s="1">
        <f t="shared" si="37"/>
        <v>55.583660000000002</v>
      </c>
      <c r="AH14" s="1">
        <f t="shared" si="37"/>
        <v>55.583660000000002</v>
      </c>
      <c r="AI14" s="1">
        <f t="shared" si="37"/>
        <v>55.583660000000002</v>
      </c>
    </row>
    <row r="16" spans="1:120" x14ac:dyDescent="0.2">
      <c r="AK16" s="10" t="s">
        <v>52</v>
      </c>
      <c r="AL16" s="13">
        <v>0.02</v>
      </c>
    </row>
    <row r="17" spans="2:38" x14ac:dyDescent="0.2">
      <c r="AK17" s="10" t="s">
        <v>51</v>
      </c>
      <c r="AL17" s="13">
        <v>0.08</v>
      </c>
    </row>
    <row r="18" spans="2:38" s="10" customFormat="1" x14ac:dyDescent="0.2">
      <c r="B18" s="10" t="s">
        <v>17</v>
      </c>
      <c r="C18" s="11"/>
      <c r="D18" s="11"/>
      <c r="E18" s="11"/>
      <c r="F18" s="11"/>
      <c r="G18" s="11"/>
      <c r="H18" s="12">
        <f t="shared" ref="H18:O18" si="38">+H4/D4-1</f>
        <v>0.76457777669023907</v>
      </c>
      <c r="I18" s="12">
        <f t="shared" si="38"/>
        <v>0.7614120262527686</v>
      </c>
      <c r="J18" s="12">
        <f t="shared" si="38"/>
        <v>0.84897329684653</v>
      </c>
      <c r="K18" s="12">
        <f t="shared" si="38"/>
        <v>0.71406993066712166</v>
      </c>
      <c r="L18" s="12">
        <f t="shared" si="38"/>
        <v>0.49985439518533403</v>
      </c>
      <c r="M18" s="12">
        <f t="shared" si="38"/>
        <v>0.39705438802451876</v>
      </c>
      <c r="N18" s="12">
        <f t="shared" si="38"/>
        <v>0.31134592884850321</v>
      </c>
      <c r="O18" s="12">
        <f t="shared" si="38"/>
        <v>3.5815820366627893E-2</v>
      </c>
      <c r="P18" s="12">
        <f t="shared" ref="P18" si="39">+P4/L4-1</f>
        <v>0.19999999999999996</v>
      </c>
      <c r="Q18" s="12">
        <f t="shared" ref="Q18" si="40">+Q4/M4-1</f>
        <v>0.19999999999999996</v>
      </c>
      <c r="R18" s="12">
        <f t="shared" ref="R18" si="41">+R4/N4-1</f>
        <v>0.19999999999999996</v>
      </c>
      <c r="S18" s="12">
        <f t="shared" ref="S18" si="42">+S4/O4-1</f>
        <v>0.19999999999999996</v>
      </c>
      <c r="T18" s="11"/>
      <c r="W18" s="13">
        <f>+W4/V4-1</f>
        <v>0.47605921128125384</v>
      </c>
      <c r="X18" s="13">
        <f>+X4/W4-1</f>
        <v>0.76892565181637873</v>
      </c>
      <c r="Y18" s="13">
        <f t="shared" ref="Y18:AA19" si="43">+Y4/X4-1</f>
        <v>0.28279709980740897</v>
      </c>
      <c r="Z18" s="13">
        <f t="shared" si="43"/>
        <v>0.19999999999999996</v>
      </c>
      <c r="AA18" s="13">
        <f t="shared" si="43"/>
        <v>0.19999999999999996</v>
      </c>
      <c r="AB18" s="13">
        <f t="shared" ref="AB18" si="44">+AB4/AA4-1</f>
        <v>0.19999999999999996</v>
      </c>
      <c r="AC18" s="13">
        <f t="shared" ref="AC18" si="45">+AC4/AB4-1</f>
        <v>0.19999999999999996</v>
      </c>
      <c r="AD18" s="13">
        <f t="shared" ref="AD18" si="46">+AD4/AC4-1</f>
        <v>0.19999999999999996</v>
      </c>
      <c r="AE18" s="13">
        <f t="shared" ref="AE18" si="47">+AE4/AD4-1</f>
        <v>0.14999999999999991</v>
      </c>
      <c r="AF18" s="13">
        <f t="shared" ref="AF18" si="48">+AF4/AE4-1</f>
        <v>0.14999999999999991</v>
      </c>
      <c r="AG18" s="13">
        <f t="shared" ref="AG18" si="49">+AG4/AF4-1</f>
        <v>0.10000000000000009</v>
      </c>
      <c r="AH18" s="13">
        <f t="shared" ref="AH18" si="50">+AH4/AG4-1</f>
        <v>0.10000000000000009</v>
      </c>
      <c r="AI18" s="13">
        <f t="shared" ref="AI18" si="51">+AI4/AH4-1</f>
        <v>0.10000000000000009</v>
      </c>
      <c r="AK18" s="10" t="s">
        <v>53</v>
      </c>
      <c r="AL18" s="17">
        <f>NPV(AL17,Y12:DP12)</f>
        <v>7591.1760355873175</v>
      </c>
    </row>
    <row r="19" spans="2:38" x14ac:dyDescent="0.2">
      <c r="B19" t="s">
        <v>18</v>
      </c>
      <c r="D19" s="7">
        <f t="shared" ref="D19:O19" si="52">+D6/D4</f>
        <v>0.67687049860930992</v>
      </c>
      <c r="E19" s="7">
        <f t="shared" si="52"/>
        <v>0.65027094622759485</v>
      </c>
      <c r="F19" s="7">
        <f t="shared" si="52"/>
        <v>0.67372063028450158</v>
      </c>
      <c r="G19" s="7">
        <f t="shared" si="52"/>
        <v>0.68919762805766527</v>
      </c>
      <c r="H19" s="7">
        <f t="shared" si="52"/>
        <v>0.70524500899051956</v>
      </c>
      <c r="I19" s="7">
        <f t="shared" si="52"/>
        <v>0.70700719698200065</v>
      </c>
      <c r="J19" s="7">
        <f t="shared" si="52"/>
        <v>0.70847742883189457</v>
      </c>
      <c r="K19" s="7">
        <f t="shared" si="52"/>
        <v>0.70747922265159124</v>
      </c>
      <c r="L19" s="7">
        <f t="shared" si="52"/>
        <v>0.71278703883480177</v>
      </c>
      <c r="M19" s="7">
        <f t="shared" si="52"/>
        <v>0.71098231337706541</v>
      </c>
      <c r="N19" s="7">
        <f t="shared" si="52"/>
        <v>0.71287644244300596</v>
      </c>
      <c r="O19" s="7">
        <f t="shared" si="52"/>
        <v>0.71258849524267609</v>
      </c>
      <c r="P19" s="7">
        <f t="shared" ref="P19:S19" si="53">+P6/P4</f>
        <v>0</v>
      </c>
      <c r="Q19" s="7">
        <f t="shared" si="53"/>
        <v>0</v>
      </c>
      <c r="R19" s="7">
        <f t="shared" si="53"/>
        <v>0</v>
      </c>
      <c r="S19" s="7">
        <f t="shared" si="53"/>
        <v>0</v>
      </c>
      <c r="V19" s="7">
        <f>+V6/V4</f>
        <v>0.64191964911833332</v>
      </c>
      <c r="W19" s="7">
        <f>+W6/W4</f>
        <v>0.67444078197234492</v>
      </c>
      <c r="X19" s="7">
        <f>+X6/X4</f>
        <v>0.70717196063801113</v>
      </c>
      <c r="Y19" s="7">
        <f t="shared" ref="Y19:AI19" si="54">+Y6/Y4</f>
        <v>0.71</v>
      </c>
      <c r="Z19" s="7">
        <f t="shared" si="54"/>
        <v>0.70999999999999985</v>
      </c>
      <c r="AA19" s="13">
        <f t="shared" si="43"/>
        <v>0.19999999999999951</v>
      </c>
      <c r="AB19" s="7">
        <f t="shared" si="54"/>
        <v>0.71</v>
      </c>
      <c r="AC19" s="7">
        <f t="shared" si="54"/>
        <v>0.71</v>
      </c>
      <c r="AD19" s="7">
        <f t="shared" si="54"/>
        <v>0.71</v>
      </c>
      <c r="AE19" s="7">
        <f t="shared" si="54"/>
        <v>0.71</v>
      </c>
      <c r="AF19" s="7">
        <f t="shared" si="54"/>
        <v>0.71</v>
      </c>
      <c r="AG19" s="7">
        <f t="shared" si="54"/>
        <v>0.71</v>
      </c>
      <c r="AH19" s="7">
        <f t="shared" si="54"/>
        <v>0.71</v>
      </c>
      <c r="AI19" s="7">
        <f t="shared" si="54"/>
        <v>0.71</v>
      </c>
      <c r="AK19" s="10" t="s">
        <v>54</v>
      </c>
      <c r="AL19" s="18">
        <f>AL18/Main!K3</f>
        <v>130.92580829483148</v>
      </c>
    </row>
    <row r="20" spans="2:38" x14ac:dyDescent="0.2">
      <c r="AK20" s="10" t="s">
        <v>55</v>
      </c>
      <c r="AL20" s="13">
        <f>AL19/Main!K2-1</f>
        <v>0.15863547163567682</v>
      </c>
    </row>
    <row r="21" spans="2:38" x14ac:dyDescent="0.2">
      <c r="B21" t="s">
        <v>43</v>
      </c>
      <c r="N21" s="5">
        <f>+N22-N31</f>
        <v>-180.46600000000001</v>
      </c>
      <c r="O21" s="5">
        <f>+O22-O31</f>
        <v>-107.98399999999998</v>
      </c>
    </row>
    <row r="22" spans="2:38" x14ac:dyDescent="0.2">
      <c r="B22" t="s">
        <v>3</v>
      </c>
      <c r="N22" s="5">
        <v>73.844999999999999</v>
      </c>
      <c r="O22" s="5">
        <v>148.69200000000001</v>
      </c>
    </row>
    <row r="23" spans="2:38" x14ac:dyDescent="0.2">
      <c r="B23" t="s">
        <v>34</v>
      </c>
      <c r="N23" s="5">
        <v>187.744</v>
      </c>
      <c r="O23" s="5">
        <v>126.01</v>
      </c>
    </row>
    <row r="24" spans="2:38" x14ac:dyDescent="0.2">
      <c r="B24" t="s">
        <v>35</v>
      </c>
      <c r="N24" s="5">
        <v>214.786</v>
      </c>
      <c r="O24" s="5">
        <v>187.17</v>
      </c>
      <c r="V24" s="1">
        <v>19.513000000000002</v>
      </c>
      <c r="W24" s="1">
        <v>101.883</v>
      </c>
      <c r="X24" s="1">
        <v>71.153999999999996</v>
      </c>
    </row>
    <row r="25" spans="2:38" x14ac:dyDescent="0.2">
      <c r="B25" t="s">
        <v>36</v>
      </c>
      <c r="N25" s="5">
        <v>82.701999999999998</v>
      </c>
      <c r="O25" s="5">
        <v>78.688000000000002</v>
      </c>
    </row>
    <row r="26" spans="2:38" x14ac:dyDescent="0.2">
      <c r="B26" t="s">
        <v>33</v>
      </c>
      <c r="N26" s="5">
        <v>19.878</v>
      </c>
      <c r="O26" s="5">
        <v>28.786999999999999</v>
      </c>
    </row>
    <row r="27" spans="2:38" x14ac:dyDescent="0.2">
      <c r="B27" t="s">
        <v>32</v>
      </c>
      <c r="N27" s="5">
        <f>212.047+340.582</f>
        <v>552.62900000000002</v>
      </c>
      <c r="O27" s="5">
        <f>207.698+340.582</f>
        <v>548.28</v>
      </c>
    </row>
    <row r="28" spans="2:38" x14ac:dyDescent="0.2">
      <c r="B28" t="s">
        <v>31</v>
      </c>
      <c r="N28" s="5">
        <v>133.25</v>
      </c>
      <c r="O28" s="5">
        <v>130.548</v>
      </c>
    </row>
    <row r="29" spans="2:38" x14ac:dyDescent="0.2">
      <c r="B29" t="s">
        <v>30</v>
      </c>
      <c r="N29" s="5">
        <f>SUM(N22:N28)</f>
        <v>1264.8340000000001</v>
      </c>
      <c r="O29" s="5">
        <f>SUM(O22:O28)</f>
        <v>1248.175</v>
      </c>
    </row>
    <row r="30" spans="2:38" x14ac:dyDescent="0.2">
      <c r="O30" s="5"/>
    </row>
    <row r="31" spans="2:38" x14ac:dyDescent="0.2">
      <c r="B31" t="s">
        <v>4</v>
      </c>
      <c r="N31" s="5">
        <f>100.25+154.061</f>
        <v>254.31100000000001</v>
      </c>
      <c r="O31" s="5">
        <v>256.67599999999999</v>
      </c>
    </row>
    <row r="32" spans="2:38" x14ac:dyDescent="0.2">
      <c r="B32" t="s">
        <v>37</v>
      </c>
      <c r="N32" s="5">
        <v>65.293000000000006</v>
      </c>
      <c r="O32" s="5">
        <v>72.180000000000007</v>
      </c>
    </row>
    <row r="33" spans="2:20" x14ac:dyDescent="0.2">
      <c r="B33" t="s">
        <v>38</v>
      </c>
      <c r="N33" s="5">
        <v>128.364</v>
      </c>
      <c r="O33" s="5">
        <v>104.876</v>
      </c>
    </row>
    <row r="34" spans="2:20" x14ac:dyDescent="0.2">
      <c r="B34" t="s">
        <v>15</v>
      </c>
      <c r="N34" s="5">
        <v>0.49299999999999999</v>
      </c>
      <c r="O34" s="5">
        <v>3.8119999999999998</v>
      </c>
    </row>
    <row r="35" spans="2:20" x14ac:dyDescent="0.2">
      <c r="B35" t="s">
        <v>42</v>
      </c>
      <c r="N35" s="5">
        <v>48.116</v>
      </c>
      <c r="O35" s="5">
        <v>48.720999999999997</v>
      </c>
    </row>
    <row r="36" spans="2:20" x14ac:dyDescent="0.2">
      <c r="B36" t="s">
        <v>41</v>
      </c>
      <c r="N36" s="5">
        <v>0.87</v>
      </c>
      <c r="O36" s="5">
        <v>1.0549999999999999</v>
      </c>
    </row>
    <row r="37" spans="2:20" x14ac:dyDescent="0.2">
      <c r="B37" t="s">
        <v>40</v>
      </c>
      <c r="N37" s="5">
        <v>767.38699999999994</v>
      </c>
      <c r="O37" s="5">
        <v>760.85500000000002</v>
      </c>
    </row>
    <row r="38" spans="2:20" x14ac:dyDescent="0.2">
      <c r="B38" t="s">
        <v>39</v>
      </c>
      <c r="N38" s="5">
        <f>SUM(N31:N37)</f>
        <v>1264.8340000000001</v>
      </c>
      <c r="O38" s="5">
        <f>SUM(O31:O37)</f>
        <v>1248.175</v>
      </c>
    </row>
    <row r="41" spans="2:20" s="1" customFormat="1" x14ac:dyDescent="0.2">
      <c r="B41" s="1" t="s">
        <v>44</v>
      </c>
      <c r="C41" s="5"/>
      <c r="D41" s="5"/>
      <c r="E41" s="5"/>
      <c r="F41" s="5"/>
      <c r="G41" s="5"/>
      <c r="H41" s="5">
        <v>23.353999999999999</v>
      </c>
      <c r="I41" s="5">
        <f>51.27-H41</f>
        <v>27.916000000000004</v>
      </c>
      <c r="J41" s="5">
        <f>34.139-I41-H41</f>
        <v>-17.131</v>
      </c>
      <c r="K41" s="5">
        <f>71.154-J41-I41-H41</f>
        <v>37.014999999999993</v>
      </c>
      <c r="L41" s="5">
        <v>1.2809999999999999</v>
      </c>
      <c r="M41" s="5">
        <f>12.449-L41</f>
        <v>11.167999999999999</v>
      </c>
      <c r="N41" s="5">
        <f>-2.26-M41-L41</f>
        <v>-14.709</v>
      </c>
      <c r="O41" s="5">
        <f>133.84-N41-M41-L41</f>
        <v>136.1</v>
      </c>
      <c r="P41" s="5"/>
      <c r="Q41" s="5"/>
      <c r="R41" s="5"/>
      <c r="S41" s="5"/>
      <c r="T41" s="5"/>
    </row>
    <row r="42" spans="2:20" s="1" customFormat="1" x14ac:dyDescent="0.2">
      <c r="C42" s="5"/>
      <c r="D42" s="5"/>
      <c r="E42" s="5"/>
      <c r="F42" s="5"/>
      <c r="G42" s="5"/>
      <c r="H42" s="5">
        <v>-0.61599999999999999</v>
      </c>
      <c r="I42" s="5">
        <f>-1.465-H42</f>
        <v>-0.84900000000000009</v>
      </c>
      <c r="J42" s="5">
        <f>-5.984-I42-H42</f>
        <v>-4.5190000000000001</v>
      </c>
      <c r="K42" s="5">
        <f>-8.659-J42-I42-H42</f>
        <v>-2.6750000000000003</v>
      </c>
      <c r="L42" s="5">
        <v>-0.78600000000000003</v>
      </c>
      <c r="M42" s="5">
        <f>-2.409-L42</f>
        <v>-1.6229999999999998</v>
      </c>
      <c r="N42" s="5">
        <f>-7.461-M42-L42</f>
        <v>-5.0520000000000014</v>
      </c>
      <c r="O42" s="5">
        <f>-18.52-N42-M42-L42</f>
        <v>-11.058999999999999</v>
      </c>
      <c r="P42" s="5"/>
      <c r="Q42" s="5"/>
      <c r="R42" s="5"/>
      <c r="S42" s="5"/>
      <c r="T42" s="5"/>
    </row>
    <row r="43" spans="2:20" s="1" customFormat="1" x14ac:dyDescent="0.2">
      <c r="C43" s="5"/>
      <c r="D43" s="5"/>
      <c r="E43" s="5"/>
      <c r="F43" s="5"/>
      <c r="G43" s="5"/>
      <c r="H43" s="5">
        <f>+H41+H42</f>
        <v>22.738</v>
      </c>
      <c r="I43" s="5">
        <f>+I41+I42</f>
        <v>27.067000000000004</v>
      </c>
      <c r="J43" s="5">
        <f>+J41+J42</f>
        <v>-21.65</v>
      </c>
      <c r="K43" s="5">
        <f>+K41+K42</f>
        <v>34.339999999999996</v>
      </c>
      <c r="L43" s="5">
        <f t="shared" ref="L43:O43" si="55">+L41+L42</f>
        <v>0.49499999999999988</v>
      </c>
      <c r="M43" s="5">
        <f t="shared" si="55"/>
        <v>9.5449999999999999</v>
      </c>
      <c r="N43" s="5">
        <f t="shared" si="55"/>
        <v>-19.761000000000003</v>
      </c>
      <c r="O43" s="5">
        <f t="shared" si="55"/>
        <v>125.041</v>
      </c>
      <c r="P43" s="5"/>
      <c r="Q43" s="5"/>
      <c r="R43" s="5"/>
      <c r="S43" s="5"/>
      <c r="T43" s="5"/>
    </row>
  </sheetData>
  <hyperlinks>
    <hyperlink ref="A1" location="Main!A1" display="Main" xr:uid="{A6A53138-31EF-417F-8D26-051DB5CF81B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2024-10-11T14:58:12Z</dcterms:created>
  <dcterms:modified xsi:type="dcterms:W3CDTF">2025-10-09T11:45:35Z</dcterms:modified>
</cp:coreProperties>
</file>