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en\Downloads\"/>
    </mc:Choice>
  </mc:AlternateContent>
  <xr:revisionPtr revIDLastSave="0" documentId="8_{E74DE1EC-ABC1-4DEA-B62F-F9922BC8330E}" xr6:coauthVersionLast="47" xr6:coauthVersionMax="47" xr10:uidLastSave="{00000000-0000-0000-0000-000000000000}"/>
  <bookViews>
    <workbookView xWindow="3195" yWindow="2970" windowWidth="18075" windowHeight="16020" activeTab="1" xr2:uid="{DC22EDDA-0D68-43FA-A103-EA4267DC9682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6" i="2" l="1"/>
  <c r="J45" i="2"/>
  <c r="J44" i="2"/>
  <c r="J43" i="2"/>
  <c r="J19" i="2"/>
  <c r="J18" i="2"/>
  <c r="J17" i="2"/>
  <c r="J16" i="2"/>
  <c r="J15" i="2"/>
  <c r="J14" i="2"/>
  <c r="J13" i="2"/>
  <c r="J10" i="2"/>
  <c r="J11" i="2" s="1"/>
  <c r="J9" i="2"/>
  <c r="J8" i="2"/>
  <c r="J7" i="2"/>
  <c r="J6" i="2"/>
  <c r="U2" i="2"/>
  <c r="T2" i="2"/>
  <c r="G17" i="2"/>
  <c r="K12" i="2"/>
  <c r="L12" i="2"/>
  <c r="M12" i="2"/>
  <c r="M41" i="2" s="1"/>
  <c r="G12" i="2"/>
  <c r="H12" i="2"/>
  <c r="G10" i="2"/>
  <c r="G8" i="2"/>
  <c r="G9" i="2"/>
  <c r="K17" i="2"/>
  <c r="K10" i="2"/>
  <c r="K8" i="2"/>
  <c r="K9" i="2"/>
  <c r="K11" i="2" s="1"/>
  <c r="K14" i="2" s="1"/>
  <c r="K16" i="2" s="1"/>
  <c r="H46" i="2"/>
  <c r="I46" i="2" s="1"/>
  <c r="L46" i="2"/>
  <c r="M46" i="2" s="1"/>
  <c r="H45" i="2"/>
  <c r="I45" i="2" s="1"/>
  <c r="L45" i="2"/>
  <c r="M45" i="2" s="1"/>
  <c r="H44" i="2"/>
  <c r="I44" i="2" s="1"/>
  <c r="L44" i="2"/>
  <c r="M44" i="2" s="1"/>
  <c r="H17" i="2"/>
  <c r="H10" i="2"/>
  <c r="H8" i="2"/>
  <c r="H9" i="2"/>
  <c r="L17" i="2"/>
  <c r="L10" i="2"/>
  <c r="L8" i="2"/>
  <c r="L9" i="2"/>
  <c r="L11" i="2" s="1"/>
  <c r="L14" i="2" s="1"/>
  <c r="L16" i="2" s="1"/>
  <c r="I12" i="2"/>
  <c r="I41" i="2" s="1"/>
  <c r="M17" i="2"/>
  <c r="I17" i="2"/>
  <c r="M10" i="2"/>
  <c r="I8" i="2"/>
  <c r="M8" i="2"/>
  <c r="I9" i="2"/>
  <c r="I11" i="2" s="1"/>
  <c r="I14" i="2" s="1"/>
  <c r="I16" i="2" s="1"/>
  <c r="M9" i="2"/>
  <c r="M31" i="2"/>
  <c r="M34" i="2"/>
  <c r="M22" i="2"/>
  <c r="M27" i="2"/>
  <c r="M23" i="2"/>
  <c r="J7" i="1"/>
  <c r="J4" i="1"/>
  <c r="J6" i="1"/>
  <c r="J5" i="1"/>
  <c r="G11" i="2" l="1"/>
  <c r="G14" i="2" s="1"/>
  <c r="G16" i="2" s="1"/>
  <c r="G18" i="2" s="1"/>
  <c r="G43" i="2" s="1"/>
  <c r="K18" i="2"/>
  <c r="K19" i="2"/>
  <c r="K43" i="2"/>
  <c r="H11" i="2"/>
  <c r="H14" i="2" s="1"/>
  <c r="H16" i="2" s="1"/>
  <c r="H18" i="2" s="1"/>
  <c r="H43" i="2" s="1"/>
  <c r="L18" i="2"/>
  <c r="I18" i="2"/>
  <c r="I43" i="2" s="1"/>
  <c r="M11" i="2"/>
  <c r="M14" i="2" s="1"/>
  <c r="M16" i="2" s="1"/>
  <c r="M18" i="2" s="1"/>
  <c r="M29" i="2"/>
  <c r="M39" i="2"/>
  <c r="L19" i="2" l="1"/>
  <c r="L43" i="2"/>
  <c r="M43" i="2"/>
  <c r="M19" i="2"/>
</calcChain>
</file>

<file path=xl/sharedStrings.xml><?xml version="1.0" encoding="utf-8"?>
<sst xmlns="http://schemas.openxmlformats.org/spreadsheetml/2006/main" count="60" uniqueCount="53">
  <si>
    <t>Price</t>
  </si>
  <si>
    <t>Shares</t>
  </si>
  <si>
    <t>MC</t>
  </si>
  <si>
    <t>Cash</t>
  </si>
  <si>
    <t>Debt</t>
  </si>
  <si>
    <t>EV</t>
  </si>
  <si>
    <t>Q322</t>
  </si>
  <si>
    <t>Main</t>
  </si>
  <si>
    <t>Revenue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</si>
  <si>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</si>
  <si>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</si>
  <si>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</si>
  <si>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</si>
  <si>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</si>
  <si>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</si>
  <si>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</si>
  <si>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</si>
  <si>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</si>
  <si>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</si>
  <si>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Q422</t>
  </si>
  <si>
    <t>Medical Receivables</t>
  </si>
  <si>
    <t>Other Receivables</t>
  </si>
  <si>
    <t>OCA</t>
  </si>
  <si>
    <t>Assets</t>
  </si>
  <si>
    <t>PP&amp;E</t>
  </si>
  <si>
    <t>Goodwill</t>
  </si>
  <si>
    <t>ONCA</t>
  </si>
  <si>
    <t>Claims</t>
  </si>
  <si>
    <t>ONCL</t>
  </si>
  <si>
    <t>Tax</t>
  </si>
  <si>
    <t>OCL</t>
  </si>
  <si>
    <t>AP</t>
  </si>
  <si>
    <t>DR</t>
  </si>
  <si>
    <t>SE</t>
  </si>
  <si>
    <t>L+SE</t>
  </si>
  <si>
    <t>Premiums</t>
  </si>
  <si>
    <t>Product</t>
  </si>
  <si>
    <t>Fees+Investment</t>
  </si>
  <si>
    <t>COGS</t>
  </si>
  <si>
    <t>Gross Profit</t>
  </si>
  <si>
    <t>SG&amp;A</t>
  </si>
  <si>
    <t>Operating Income</t>
  </si>
  <si>
    <t>Interest Expense</t>
  </si>
  <si>
    <t>Pretax Income</t>
  </si>
  <si>
    <t>Taxes</t>
  </si>
  <si>
    <t>Net Income</t>
  </si>
  <si>
    <t>EPS</t>
  </si>
  <si>
    <t>MLR</t>
  </si>
  <si>
    <t>Model NI</t>
  </si>
  <si>
    <t>Reported NI</t>
  </si>
  <si>
    <t>CFFO</t>
  </si>
  <si>
    <t>CapEx</t>
  </si>
  <si>
    <t>Medical Membership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</si>
</sst>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%"/>
  </numFmts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0" fontId="2" fillId="0" borderId="0" xfId="1"/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4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D83FEC2E-20E3-4392-AA48-49E9E2ACA0B2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26275</xdr:colOff>
      <xdr:row>0</xdr:row>
      <xdr:rowOff>72259</xdr:rowOff>
    </xdr:from>
    <xdr:to>
      <xdr:col>13</xdr:col>
      <xdr:colOff>26275</xdr:colOff>
      <xdr:row>51</xdr:row>
      <xdr:rowOff>131379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4BCC6943-9066-7DE3-97FC-D198DB0BBCC2}"/>
            </a:ext>
          </a:extLst>
        </xdr:cNvPr>
        <xdr:cNvCxnSpPr/>
      </xdr:nvCxnSpPr>
      <xdr:spPr>
        <a:xfrm>
          <a:off x="8309741" y="72259"/>
          <a:ext cx="0" cy="547851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7E40D-5F07-483B-9E37-05BBD04FF23F}">
  <dimension ref="I2:K7"/>
  <sheetViews>
    <sheetView zoomScaleNormal="100" workbookViewId="0">
      <selection activeCell="K7" sqref="K7"/>
    </sheetView>
  </sheetViews>
  <sheetFormatPr defaultRowHeight="12.75" x14ac:dyDescent="0.2"/>
  <sheetData>
    <row r="2" spans="9:11" x14ac:dyDescent="0.2">
      <c r="I2" t="s">
        <v>0</v>
      </c>
      <c r="J2" s="1">
        <v>479.49</v>
      </c>
    </row>
    <row r="3" spans="9:11" x14ac:dyDescent="0.2">
      <c r="I3" t="s">
        <v>1</v>
      </c>
      <c r="J3" s="2">
        <v>238.97462400000001</v>
      </c>
      <c r="K3" s="3" t="s">
        <v>6</v>
      </c>
    </row>
    <row r="4" spans="9:11" x14ac:dyDescent="0.2">
      <c r="I4" t="s">
        <v>2</v>
      </c>
      <c r="J4" s="2">
        <f>+J2*J3</f>
        <v>114585.94246176</v>
      </c>
    </row>
    <row r="5" spans="9:11" x14ac:dyDescent="0.2">
      <c r="I5" t="s">
        <v>3</v>
      </c>
      <c r="J5" s="2">
        <f>8872+25526+1503+622+5516</f>
        <v>42039</v>
      </c>
      <c r="K5" s="3" t="s">
        <v>6</v>
      </c>
    </row>
    <row r="6" spans="9:11" x14ac:dyDescent="0.2">
      <c r="I6" t="s">
        <v>4</v>
      </c>
      <c r="J6" s="2">
        <f>21258+2249+15242</f>
        <v>38749</v>
      </c>
      <c r="K6" s="3" t="s">
        <v>6</v>
      </c>
    </row>
    <row r="7" spans="9:11" x14ac:dyDescent="0.2">
      <c r="I7" t="s">
        <v>5</v>
      </c>
      <c r="J7" s="2">
        <f>+J4-J5+J6</f>
        <v>111295.94246176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DF951-AC4B-4CE6-93E8-225381312568}">
  <dimension ref="A1:U46"/>
  <sheetViews>
    <sheetView tabSelected="1" zoomScaleNormal="100" workbookViewId="0">
      <pane xSplit="2" ySplit="2" topLeftCell="K3" activePane="bottomRight" state="frozen"/>
      <selection pane="topRight" activeCell="C1" sqref="C1"/>
      <selection pane="bottomLeft" activeCell="A3" sqref="A3"/>
      <selection pane="bottomRight" activeCell="U45" sqref="U45"/>
    </sheetView>
  </sheetViews>
  <sheetFormatPr defaultRowHeight="12.75" x14ac:dyDescent="0.2"/>
  <cols>
    <col min="1" max="1" width="5" bestFit="1" customWidth="1"/>
    <col min="2" max="2" width="18.42578125" customWidth="1"/>
    <col min="3" max="14" width="9.140625" style="3"/>
  </cols>
  <sheetData>
    <row r="1" spans="1:21" x14ac:dyDescent="0.2">
      <c r="A1" s="5" t="s">
        <v>7</v>
      </c>
    </row>
    <row r="2" spans="1:21" x14ac:dyDescent="0.2"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  <c r="H2" s="3" t="s">
        <v>14</v>
      </c>
      <c r="I2" s="3" t="s">
        <v>15</v>
      </c>
      <c r="J2" s="3" t="s">
        <v>16</v>
      </c>
      <c r="K2" s="3" t="s">
        <v>17</v>
      </c>
      <c r="L2" s="3" t="s">
        <v>18</v>
      </c>
      <c r="M2" s="3" t="s">
        <v>6</v>
      </c>
      <c r="N2" s="3" t="s">
        <v>19</v>
      </c>
      <c r="S2">
        <v>2019</v>
      </c>
      <c r="T2">
        <f>+S2+1</f>
        <v>2020</v>
      </c>
      <c r="U2">
        <f>+T2+1</f>
        <v>2021</v>
      </c>
    </row>
    <row r="3" spans="1:21" s="2" customFormat="1" x14ac:dyDescent="0.2">
      <c r="B3" s="2" t="s">
        <v>52</v>
      </c>
      <c r="C3" s="4"/>
      <c r="D3" s="4"/>
      <c r="E3" s="4"/>
      <c r="F3" s="4">
        <v>42925</v>
      </c>
      <c r="G3" s="4"/>
      <c r="H3" s="4"/>
      <c r="I3" s="4"/>
      <c r="J3" s="4">
        <v>45374</v>
      </c>
      <c r="K3" s="4"/>
      <c r="L3" s="4"/>
      <c r="M3" s="4"/>
      <c r="N3" s="4"/>
      <c r="S3" s="2">
        <v>41000</v>
      </c>
      <c r="T3" s="2">
        <v>42925</v>
      </c>
      <c r="U3" s="2">
        <v>45374</v>
      </c>
    </row>
    <row r="6" spans="1:21" s="2" customFormat="1" x14ac:dyDescent="0.2">
      <c r="B6" s="2" t="s">
        <v>35</v>
      </c>
      <c r="C6" s="4"/>
      <c r="D6" s="4"/>
      <c r="E6" s="4"/>
      <c r="F6" s="4"/>
      <c r="G6" s="4">
        <v>27676</v>
      </c>
      <c r="H6" s="4">
        <v>28533</v>
      </c>
      <c r="I6" s="4">
        <v>30395</v>
      </c>
      <c r="J6" s="4">
        <f>117373-I6-H6-G6</f>
        <v>30769</v>
      </c>
      <c r="K6" s="4">
        <v>32785</v>
      </c>
      <c r="L6" s="4">
        <v>33076</v>
      </c>
      <c r="M6" s="4">
        <v>33722</v>
      </c>
      <c r="N6" s="4"/>
    </row>
    <row r="7" spans="1:21" s="2" customFormat="1" x14ac:dyDescent="0.2">
      <c r="B7" s="2" t="s">
        <v>36</v>
      </c>
      <c r="C7" s="4"/>
      <c r="D7" s="4"/>
      <c r="E7" s="4"/>
      <c r="F7" s="4"/>
      <c r="G7" s="4">
        <v>2737</v>
      </c>
      <c r="H7" s="4">
        <v>3042</v>
      </c>
      <c r="I7" s="4">
        <v>3353</v>
      </c>
      <c r="J7" s="4">
        <f>12657-I7-H7-G7</f>
        <v>3525</v>
      </c>
      <c r="K7" s="4">
        <v>3301</v>
      </c>
      <c r="L7" s="4">
        <v>3568</v>
      </c>
      <c r="M7" s="4">
        <v>3972</v>
      </c>
      <c r="N7" s="4"/>
    </row>
    <row r="8" spans="1:21" s="2" customFormat="1" x14ac:dyDescent="0.2">
      <c r="B8" s="2" t="s">
        <v>37</v>
      </c>
      <c r="C8" s="4"/>
      <c r="D8" s="4"/>
      <c r="E8" s="4"/>
      <c r="F8" s="4"/>
      <c r="G8" s="4">
        <f>1685+291-4</f>
        <v>1972</v>
      </c>
      <c r="H8" s="4">
        <f>1704+400+172</f>
        <v>2276</v>
      </c>
      <c r="I8" s="4">
        <f>1800+335-61</f>
        <v>2074</v>
      </c>
      <c r="J8" s="4">
        <f>6913-I8-H8-G8+1378+318</f>
        <v>2287</v>
      </c>
      <c r="K8" s="4">
        <f>1800+360-151</f>
        <v>2009</v>
      </c>
      <c r="L8" s="4">
        <f>1838+381-231</f>
        <v>1988</v>
      </c>
      <c r="M8" s="4">
        <f>1931+371-57</f>
        <v>2245</v>
      </c>
      <c r="N8" s="4"/>
    </row>
    <row r="9" spans="1:21" s="6" customFormat="1" x14ac:dyDescent="0.2">
      <c r="B9" s="6" t="s">
        <v>8</v>
      </c>
      <c r="C9" s="7"/>
      <c r="D9" s="7"/>
      <c r="E9" s="7"/>
      <c r="F9" s="7"/>
      <c r="G9" s="7">
        <f t="shared" ref="G9:M9" si="0">SUM(G6:G8)</f>
        <v>32385</v>
      </c>
      <c r="H9" s="7">
        <f t="shared" si="0"/>
        <v>33851</v>
      </c>
      <c r="I9" s="7">
        <f t="shared" si="0"/>
        <v>35822</v>
      </c>
      <c r="J9" s="7">
        <f t="shared" si="0"/>
        <v>36581</v>
      </c>
      <c r="K9" s="7">
        <f t="shared" si="0"/>
        <v>38095</v>
      </c>
      <c r="L9" s="7">
        <f t="shared" si="0"/>
        <v>38632</v>
      </c>
      <c r="M9" s="7">
        <f t="shared" si="0"/>
        <v>39939</v>
      </c>
      <c r="N9" s="7"/>
    </row>
    <row r="10" spans="1:21" s="2" customFormat="1" x14ac:dyDescent="0.2">
      <c r="B10" s="2" t="s">
        <v>38</v>
      </c>
      <c r="C10" s="4"/>
      <c r="D10" s="4"/>
      <c r="E10" s="4"/>
      <c r="F10" s="4"/>
      <c r="G10" s="4">
        <f>23699+2313</f>
        <v>26012</v>
      </c>
      <c r="H10" s="4">
        <f>24763+2614</f>
        <v>27377</v>
      </c>
      <c r="I10" s="4">
        <v>26645</v>
      </c>
      <c r="J10" s="4">
        <f>102645+10895-I10-H10-G10</f>
        <v>33506</v>
      </c>
      <c r="K10" s="4">
        <f>28215+2883</f>
        <v>31098</v>
      </c>
      <c r="L10" s="4">
        <f>28777+3069</f>
        <v>31846</v>
      </c>
      <c r="M10" s="4">
        <f>29404+3437</f>
        <v>32841</v>
      </c>
      <c r="N10" s="4"/>
    </row>
    <row r="11" spans="1:21" s="2" customFormat="1" x14ac:dyDescent="0.2">
      <c r="B11" s="2" t="s">
        <v>39</v>
      </c>
      <c r="C11" s="4"/>
      <c r="D11" s="4"/>
      <c r="E11" s="4"/>
      <c r="F11" s="4"/>
      <c r="G11" s="4">
        <f t="shared" ref="G11:M11" si="1">+G9-G10</f>
        <v>6373</v>
      </c>
      <c r="H11" s="4">
        <f t="shared" si="1"/>
        <v>6474</v>
      </c>
      <c r="I11" s="4">
        <f t="shared" si="1"/>
        <v>9177</v>
      </c>
      <c r="J11" s="4">
        <f t="shared" si="1"/>
        <v>3075</v>
      </c>
      <c r="K11" s="4">
        <f t="shared" si="1"/>
        <v>6997</v>
      </c>
      <c r="L11" s="4">
        <f t="shared" si="1"/>
        <v>6786</v>
      </c>
      <c r="M11" s="4">
        <f t="shared" si="1"/>
        <v>7098</v>
      </c>
      <c r="N11" s="4"/>
    </row>
    <row r="12" spans="1:21" s="2" customFormat="1" x14ac:dyDescent="0.2">
      <c r="B12" s="2" t="s">
        <v>47</v>
      </c>
      <c r="C12" s="4"/>
      <c r="D12" s="4"/>
      <c r="E12" s="4"/>
      <c r="F12" s="4"/>
      <c r="G12" s="4">
        <f>+G6-23699</f>
        <v>3977</v>
      </c>
      <c r="H12" s="4">
        <f>+H6-24763</f>
        <v>3770</v>
      </c>
      <c r="I12" s="4">
        <f>+I6-26645</f>
        <v>3750</v>
      </c>
      <c r="J12" s="4"/>
      <c r="K12" s="4">
        <f>+K6-28215</f>
        <v>4570</v>
      </c>
      <c r="L12" s="4">
        <f>+L6-28777</f>
        <v>4299</v>
      </c>
      <c r="M12" s="4">
        <f>+M6-29404</f>
        <v>4318</v>
      </c>
      <c r="N12" s="4"/>
    </row>
    <row r="13" spans="1:21" x14ac:dyDescent="0.2">
      <c r="B13" s="2" t="s">
        <v>40</v>
      </c>
      <c r="G13" s="4">
        <v>3925</v>
      </c>
      <c r="H13" s="4">
        <v>3821</v>
      </c>
      <c r="I13" s="4">
        <v>3946</v>
      </c>
      <c r="J13" s="4">
        <f>15914-I13-H13-G13</f>
        <v>4222</v>
      </c>
      <c r="K13" s="4">
        <v>4341</v>
      </c>
      <c r="L13" s="4">
        <v>4269</v>
      </c>
      <c r="M13" s="4">
        <v>4514</v>
      </c>
    </row>
    <row r="14" spans="1:21" x14ac:dyDescent="0.2">
      <c r="B14" s="2" t="s">
        <v>41</v>
      </c>
      <c r="G14" s="4">
        <f t="shared" ref="G14:M14" si="2">+G11-G13</f>
        <v>2448</v>
      </c>
      <c r="H14" s="4">
        <f t="shared" si="2"/>
        <v>2653</v>
      </c>
      <c r="I14" s="4">
        <f t="shared" si="2"/>
        <v>5231</v>
      </c>
      <c r="J14" s="4">
        <f t="shared" si="2"/>
        <v>-1147</v>
      </c>
      <c r="K14" s="4">
        <f t="shared" si="2"/>
        <v>2656</v>
      </c>
      <c r="L14" s="4">
        <f t="shared" si="2"/>
        <v>2517</v>
      </c>
      <c r="M14" s="4">
        <f t="shared" si="2"/>
        <v>2584</v>
      </c>
    </row>
    <row r="15" spans="1:21" x14ac:dyDescent="0.2">
      <c r="B15" s="2" t="s">
        <v>42</v>
      </c>
      <c r="G15" s="3">
        <v>-192</v>
      </c>
      <c r="H15" s="3">
        <v>-205</v>
      </c>
      <c r="I15" s="3">
        <v>-201</v>
      </c>
      <c r="J15" s="3">
        <f>-798-I15-H15-G15</f>
        <v>-200</v>
      </c>
      <c r="K15" s="3">
        <v>-201</v>
      </c>
      <c r="L15" s="3">
        <v>-208</v>
      </c>
      <c r="M15" s="3">
        <v>-213</v>
      </c>
    </row>
    <row r="16" spans="1:21" x14ac:dyDescent="0.2">
      <c r="B16" s="2" t="s">
        <v>43</v>
      </c>
      <c r="G16" s="4">
        <f t="shared" ref="G16:M16" si="3">+G14+G15</f>
        <v>2256</v>
      </c>
      <c r="H16" s="4">
        <f t="shared" si="3"/>
        <v>2448</v>
      </c>
      <c r="I16" s="4">
        <f t="shared" si="3"/>
        <v>5030</v>
      </c>
      <c r="J16" s="4">
        <f t="shared" si="3"/>
        <v>-1347</v>
      </c>
      <c r="K16" s="4">
        <f t="shared" si="3"/>
        <v>2455</v>
      </c>
      <c r="L16" s="4">
        <f t="shared" si="3"/>
        <v>2309</v>
      </c>
      <c r="M16" s="4">
        <f t="shared" si="3"/>
        <v>2371</v>
      </c>
    </row>
    <row r="17" spans="2:14" x14ac:dyDescent="0.2">
      <c r="B17" s="2" t="s">
        <v>44</v>
      </c>
      <c r="G17" s="3">
        <f>509+2</f>
        <v>511</v>
      </c>
      <c r="H17" s="3">
        <f>552-8</f>
        <v>544</v>
      </c>
      <c r="I17" s="3">
        <f>494-7</f>
        <v>487</v>
      </c>
      <c r="J17" s="3">
        <f>1830-9-I17-H17-G17</f>
        <v>279</v>
      </c>
      <c r="K17" s="4">
        <f>531+10</f>
        <v>541</v>
      </c>
      <c r="L17" s="4">
        <f>493+3</f>
        <v>496</v>
      </c>
      <c r="M17" s="4">
        <f>533-5</f>
        <v>528</v>
      </c>
    </row>
    <row r="18" spans="2:14" x14ac:dyDescent="0.2">
      <c r="B18" s="2" t="s">
        <v>45</v>
      </c>
      <c r="G18" s="4">
        <f t="shared" ref="G18:M18" si="4">+G16-G17</f>
        <v>1745</v>
      </c>
      <c r="H18" s="4">
        <f t="shared" si="4"/>
        <v>1904</v>
      </c>
      <c r="I18" s="4">
        <f t="shared" si="4"/>
        <v>4543</v>
      </c>
      <c r="J18" s="4">
        <f t="shared" si="4"/>
        <v>-1626</v>
      </c>
      <c r="K18" s="4">
        <f t="shared" si="4"/>
        <v>1914</v>
      </c>
      <c r="L18" s="4">
        <f t="shared" si="4"/>
        <v>1813</v>
      </c>
      <c r="M18" s="4">
        <f t="shared" si="4"/>
        <v>1843</v>
      </c>
    </row>
    <row r="19" spans="2:14" x14ac:dyDescent="0.2">
      <c r="B19" s="2" t="s">
        <v>46</v>
      </c>
      <c r="I19" s="4"/>
      <c r="J19" s="8">
        <f>+J18/J20</f>
        <v>-6.7253794220414074</v>
      </c>
      <c r="K19" s="8">
        <f>+K18/K20</f>
        <v>7.9372672566920404</v>
      </c>
      <c r="L19" s="8">
        <f>+L18/L20</f>
        <v>7.5525335256984034</v>
      </c>
      <c r="M19" s="8">
        <f>+M18/M20</f>
        <v>7.7121159106834707</v>
      </c>
    </row>
    <row r="20" spans="2:14" x14ac:dyDescent="0.2">
      <c r="B20" s="2" t="s">
        <v>1</v>
      </c>
      <c r="I20" s="4"/>
      <c r="J20" s="4">
        <v>241.770746</v>
      </c>
      <c r="K20" s="4">
        <v>241.140929</v>
      </c>
      <c r="L20" s="4">
        <v>240.051897</v>
      </c>
      <c r="M20" s="4">
        <v>238.97462400000001</v>
      </c>
    </row>
    <row r="22" spans="2:14" s="2" customFormat="1" x14ac:dyDescent="0.2">
      <c r="B22" s="2" t="s">
        <v>3</v>
      </c>
      <c r="C22" s="4"/>
      <c r="D22" s="4"/>
      <c r="E22" s="4"/>
      <c r="F22" s="4"/>
      <c r="G22" s="4"/>
      <c r="H22" s="4"/>
      <c r="I22" s="4"/>
      <c r="J22" s="4"/>
      <c r="K22" s="4"/>
      <c r="L22" s="4"/>
      <c r="M22" s="4">
        <f>8872+25526+1503+622+5516</f>
        <v>42039</v>
      </c>
      <c r="N22" s="4"/>
    </row>
    <row r="23" spans="2:14" s="2" customFormat="1" x14ac:dyDescent="0.2">
      <c r="B23" s="2" t="s">
        <v>20</v>
      </c>
      <c r="C23" s="4"/>
      <c r="D23" s="4"/>
      <c r="E23" s="4"/>
      <c r="F23" s="4"/>
      <c r="G23" s="4"/>
      <c r="H23" s="4"/>
      <c r="I23" s="4"/>
      <c r="J23" s="4"/>
      <c r="K23" s="4"/>
      <c r="L23" s="4"/>
      <c r="M23" s="4">
        <f>6682+3873</f>
        <v>10555</v>
      </c>
      <c r="N23" s="4"/>
    </row>
    <row r="24" spans="2:14" s="2" customFormat="1" x14ac:dyDescent="0.2">
      <c r="B24" s="2" t="s">
        <v>21</v>
      </c>
      <c r="C24" s="4"/>
      <c r="D24" s="4"/>
      <c r="E24" s="4"/>
      <c r="F24" s="4"/>
      <c r="G24" s="4"/>
      <c r="H24" s="4"/>
      <c r="I24" s="4"/>
      <c r="J24" s="4"/>
      <c r="K24" s="4"/>
      <c r="L24" s="4"/>
      <c r="M24" s="4">
        <v>3651</v>
      </c>
      <c r="N24" s="4"/>
    </row>
    <row r="25" spans="2:14" s="2" customFormat="1" x14ac:dyDescent="0.2">
      <c r="B25" s="2" t="s">
        <v>22</v>
      </c>
      <c r="C25" s="4"/>
      <c r="D25" s="4"/>
      <c r="E25" s="4"/>
      <c r="F25" s="4"/>
      <c r="G25" s="4"/>
      <c r="H25" s="4"/>
      <c r="I25" s="4"/>
      <c r="J25" s="4"/>
      <c r="K25" s="4"/>
      <c r="L25" s="4"/>
      <c r="M25" s="4">
        <v>5496</v>
      </c>
      <c r="N25" s="4"/>
    </row>
    <row r="26" spans="2:14" s="2" customFormat="1" x14ac:dyDescent="0.2">
      <c r="B26" s="2" t="s">
        <v>24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>
        <v>4197</v>
      </c>
      <c r="N26" s="4"/>
    </row>
    <row r="27" spans="2:14" s="2" customFormat="1" x14ac:dyDescent="0.2">
      <c r="B27" s="2" t="s">
        <v>25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>
        <f>24381+10536</f>
        <v>34917</v>
      </c>
      <c r="N27" s="4"/>
    </row>
    <row r="28" spans="2:14" s="2" customFormat="1" x14ac:dyDescent="0.2">
      <c r="B28" s="2" t="s">
        <v>26</v>
      </c>
      <c r="C28" s="4"/>
      <c r="D28" s="4"/>
      <c r="E28" s="4"/>
      <c r="F28" s="4"/>
      <c r="G28" s="4"/>
      <c r="H28" s="4"/>
      <c r="I28" s="4"/>
      <c r="J28" s="4"/>
      <c r="K28" s="4"/>
      <c r="L28" s="4"/>
      <c r="M28" s="4">
        <v>2171</v>
      </c>
      <c r="N28" s="4"/>
    </row>
    <row r="29" spans="2:14" s="2" customFormat="1" x14ac:dyDescent="0.2">
      <c r="B29" s="2" t="s">
        <v>23</v>
      </c>
      <c r="C29" s="4"/>
      <c r="D29" s="4"/>
      <c r="E29" s="4"/>
      <c r="F29" s="4"/>
      <c r="G29" s="4"/>
      <c r="H29" s="4"/>
      <c r="I29" s="4"/>
      <c r="J29" s="4"/>
      <c r="K29" s="4"/>
      <c r="L29" s="4"/>
      <c r="M29" s="4">
        <f>SUM(M22:M28)</f>
        <v>103026</v>
      </c>
      <c r="N29" s="4"/>
    </row>
    <row r="31" spans="2:14" s="2" customFormat="1" x14ac:dyDescent="0.2">
      <c r="B31" s="2" t="s">
        <v>27</v>
      </c>
      <c r="C31" s="4"/>
      <c r="D31" s="4"/>
      <c r="E31" s="4"/>
      <c r="F31" s="4"/>
      <c r="G31" s="4"/>
      <c r="H31" s="4"/>
      <c r="I31" s="4"/>
      <c r="J31" s="4"/>
      <c r="K31" s="4"/>
      <c r="L31" s="4"/>
      <c r="M31" s="4">
        <f>15242+5482+825</f>
        <v>21549</v>
      </c>
      <c r="N31" s="4"/>
    </row>
    <row r="32" spans="2:14" s="2" customFormat="1" x14ac:dyDescent="0.2">
      <c r="B32" s="2" t="s">
        <v>32</v>
      </c>
      <c r="C32" s="4"/>
      <c r="D32" s="4"/>
      <c r="E32" s="4"/>
      <c r="F32" s="4"/>
      <c r="G32" s="4"/>
      <c r="H32" s="4"/>
      <c r="I32" s="4"/>
      <c r="J32" s="4"/>
      <c r="K32" s="4"/>
      <c r="L32" s="4"/>
      <c r="M32" s="4">
        <v>3702</v>
      </c>
      <c r="N32" s="4"/>
    </row>
    <row r="33" spans="2:21" s="2" customFormat="1" x14ac:dyDescent="0.2">
      <c r="B33" s="2" t="s">
        <v>31</v>
      </c>
      <c r="C33" s="4"/>
      <c r="D33" s="4"/>
      <c r="E33" s="4"/>
      <c r="F33" s="4"/>
      <c r="G33" s="4"/>
      <c r="H33" s="4"/>
      <c r="I33" s="4"/>
      <c r="J33" s="4"/>
      <c r="K33" s="4"/>
      <c r="L33" s="4"/>
      <c r="M33" s="4">
        <v>4963</v>
      </c>
      <c r="N33" s="4"/>
    </row>
    <row r="34" spans="2:21" s="2" customFormat="1" x14ac:dyDescent="0.2">
      <c r="B34" s="2" t="s">
        <v>4</v>
      </c>
      <c r="C34" s="4"/>
      <c r="D34" s="4"/>
      <c r="E34" s="4"/>
      <c r="F34" s="4"/>
      <c r="G34" s="4"/>
      <c r="H34" s="4"/>
      <c r="I34" s="4"/>
      <c r="J34" s="4"/>
      <c r="K34" s="4"/>
      <c r="L34" s="4"/>
      <c r="M34" s="4">
        <f>265+2249+21258</f>
        <v>23772</v>
      </c>
      <c r="N34" s="4"/>
    </row>
    <row r="35" spans="2:21" s="2" customFormat="1" x14ac:dyDescent="0.2">
      <c r="B35" s="2" t="s">
        <v>30</v>
      </c>
      <c r="C35" s="4"/>
      <c r="D35" s="4"/>
      <c r="E35" s="4"/>
      <c r="F35" s="4"/>
      <c r="G35" s="4"/>
      <c r="H35" s="4"/>
      <c r="I35" s="4"/>
      <c r="J35" s="4"/>
      <c r="K35" s="4"/>
      <c r="L35" s="4"/>
      <c r="M35" s="4">
        <v>9384</v>
      </c>
      <c r="N35" s="4"/>
    </row>
    <row r="36" spans="2:21" s="2" customFormat="1" x14ac:dyDescent="0.2">
      <c r="B36" s="2" t="s">
        <v>29</v>
      </c>
      <c r="C36" s="4"/>
      <c r="D36" s="4"/>
      <c r="E36" s="4"/>
      <c r="F36" s="4"/>
      <c r="G36" s="4"/>
      <c r="H36" s="4"/>
      <c r="I36" s="4"/>
      <c r="J36" s="4"/>
      <c r="K36" s="4"/>
      <c r="L36" s="4"/>
      <c r="M36" s="4">
        <v>1825</v>
      </c>
      <c r="N36" s="4"/>
    </row>
    <row r="37" spans="2:21" s="2" customFormat="1" x14ac:dyDescent="0.2">
      <c r="B37" s="2" t="s">
        <v>28</v>
      </c>
      <c r="C37" s="4"/>
      <c r="D37" s="4"/>
      <c r="E37" s="4"/>
      <c r="F37" s="4"/>
      <c r="G37" s="4"/>
      <c r="H37" s="4"/>
      <c r="I37" s="4"/>
      <c r="J37" s="4"/>
      <c r="K37" s="4"/>
      <c r="L37" s="4"/>
      <c r="M37" s="4">
        <v>1788</v>
      </c>
      <c r="N37" s="4"/>
    </row>
    <row r="38" spans="2:21" s="2" customFormat="1" x14ac:dyDescent="0.2">
      <c r="B38" s="2" t="s">
        <v>33</v>
      </c>
      <c r="C38" s="4"/>
      <c r="D38" s="4"/>
      <c r="E38" s="4"/>
      <c r="F38" s="4"/>
      <c r="G38" s="4"/>
      <c r="H38" s="4"/>
      <c r="I38" s="4"/>
      <c r="J38" s="4"/>
      <c r="K38" s="4"/>
      <c r="L38" s="4"/>
      <c r="M38" s="4">
        <v>36043</v>
      </c>
      <c r="N38" s="4"/>
    </row>
    <row r="39" spans="2:21" s="2" customFormat="1" x14ac:dyDescent="0.2">
      <c r="B39" s="2" t="s">
        <v>34</v>
      </c>
      <c r="C39" s="4"/>
      <c r="D39" s="4"/>
      <c r="E39" s="4"/>
      <c r="F39" s="4"/>
      <c r="G39" s="4"/>
      <c r="H39" s="4"/>
      <c r="I39" s="4"/>
      <c r="J39" s="4"/>
      <c r="K39" s="4"/>
      <c r="L39" s="4"/>
      <c r="M39" s="4">
        <f>SUM(M31:M38)</f>
        <v>103026</v>
      </c>
      <c r="N39" s="4"/>
    </row>
    <row r="40" spans="2:21" s="2" customFormat="1" x14ac:dyDescent="0.2"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</row>
    <row r="41" spans="2:21" x14ac:dyDescent="0.2">
      <c r="B41" s="2" t="s">
        <v>47</v>
      </c>
      <c r="I41" s="9">
        <f>+I12/I6</f>
        <v>0.12337555518999835</v>
      </c>
      <c r="J41" s="9"/>
      <c r="K41" s="9"/>
      <c r="L41" s="9"/>
      <c r="M41" s="9">
        <f>+M12/M6</f>
        <v>0.12804697230294762</v>
      </c>
    </row>
    <row r="42" spans="2:21" x14ac:dyDescent="0.2">
      <c r="B42" s="2"/>
      <c r="I42" s="9"/>
      <c r="J42" s="9"/>
      <c r="K42" s="9"/>
      <c r="L42" s="9"/>
      <c r="M42" s="9"/>
    </row>
    <row r="43" spans="2:21" s="2" customFormat="1" x14ac:dyDescent="0.2">
      <c r="B43" s="2" t="s">
        <v>48</v>
      </c>
      <c r="C43" s="4"/>
      <c r="D43" s="4"/>
      <c r="E43" s="4"/>
      <c r="F43" s="4"/>
      <c r="G43" s="4">
        <f t="shared" ref="G43:M43" si="5">+G18</f>
        <v>1745</v>
      </c>
      <c r="H43" s="4">
        <f t="shared" si="5"/>
        <v>1904</v>
      </c>
      <c r="I43" s="4">
        <f t="shared" si="5"/>
        <v>4543</v>
      </c>
      <c r="J43" s="4">
        <f t="shared" si="5"/>
        <v>-1626</v>
      </c>
      <c r="K43" s="4">
        <f t="shared" si="5"/>
        <v>1914</v>
      </c>
      <c r="L43" s="4">
        <f t="shared" si="5"/>
        <v>1813</v>
      </c>
      <c r="M43" s="4">
        <f t="shared" si="5"/>
        <v>1843</v>
      </c>
      <c r="N43" s="4"/>
    </row>
    <row r="44" spans="2:21" s="2" customFormat="1" x14ac:dyDescent="0.2">
      <c r="B44" s="2" t="s">
        <v>49</v>
      </c>
      <c r="C44" s="4"/>
      <c r="D44" s="4"/>
      <c r="E44" s="4"/>
      <c r="F44" s="4"/>
      <c r="G44" s="4">
        <v>1667</v>
      </c>
      <c r="H44" s="4">
        <f>3468-G44</f>
        <v>1801</v>
      </c>
      <c r="I44" s="4">
        <f>4970-H44-G44</f>
        <v>1502</v>
      </c>
      <c r="J44" s="4">
        <f>6095-I44-H44-G44</f>
        <v>1125</v>
      </c>
      <c r="K44" s="4">
        <v>1795</v>
      </c>
      <c r="L44" s="4">
        <f>3445-K44</f>
        <v>1650</v>
      </c>
      <c r="M44" s="4">
        <f>5058-L44-K44</f>
        <v>1613</v>
      </c>
      <c r="N44" s="4"/>
    </row>
    <row r="45" spans="2:21" s="2" customFormat="1" x14ac:dyDescent="0.2">
      <c r="B45" s="2" t="s">
        <v>50</v>
      </c>
      <c r="C45" s="4"/>
      <c r="D45" s="4"/>
      <c r="E45" s="4"/>
      <c r="F45" s="4"/>
      <c r="G45" s="4">
        <v>2505</v>
      </c>
      <c r="H45" s="4">
        <f>4188-G45</f>
        <v>1683</v>
      </c>
      <c r="I45" s="4">
        <f>6692-H45-G45</f>
        <v>2504</v>
      </c>
      <c r="J45" s="4">
        <f>8364-I45-H45-G45</f>
        <v>1672</v>
      </c>
      <c r="K45" s="4">
        <v>2541</v>
      </c>
      <c r="L45" s="4">
        <f>4993-K45</f>
        <v>2452</v>
      </c>
      <c r="M45" s="4">
        <f>9917-L45-K45</f>
        <v>4924</v>
      </c>
      <c r="N45" s="4"/>
      <c r="S45" s="2">
        <v>6061</v>
      </c>
      <c r="T45" s="2">
        <v>10688</v>
      </c>
      <c r="U45" s="2">
        <v>8364</v>
      </c>
    </row>
    <row r="46" spans="2:21" x14ac:dyDescent="0.2">
      <c r="B46" s="2" t="s">
        <v>51</v>
      </c>
      <c r="G46" s="3">
        <v>204</v>
      </c>
      <c r="H46" s="3">
        <f>489-G46</f>
        <v>285</v>
      </c>
      <c r="I46" s="3">
        <f>747-H46-G46</f>
        <v>258</v>
      </c>
      <c r="J46" s="3">
        <f>1087-I46-H46-G46</f>
        <v>340</v>
      </c>
      <c r="K46" s="3">
        <v>254</v>
      </c>
      <c r="L46" s="3">
        <f>549-K46</f>
        <v>295</v>
      </c>
      <c r="M46" s="3">
        <f>854-L46-K46</f>
        <v>305</v>
      </c>
    </row>
  </sheetData>
  <hyperlinks>
    <hyperlink ref="A1" location="Main!A1" display="Main" xr:uid="{A607AC2B-5805-4137-A27B-2F045386FB61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Nichols Ringholm</dc:creator>
  <cp:lastModifiedBy>Sam Nichols Ringholm</cp:lastModifiedBy>
  <dcterms:created xsi:type="dcterms:W3CDTF">2023-01-21T15:47:11Z</dcterms:created>
  <dcterms:modified xsi:type="dcterms:W3CDTF">2025-10-09T11:46:22Z</dcterms:modified>
</cp:coreProperties>
</file>