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DD97DA3A-224E-4021-B5BD-961BC7C2F72D}" xr6:coauthVersionLast="47" xr6:coauthVersionMax="47" xr10:uidLastSave="{00000000-0000-0000-0000-000000000000}"/>
  <bookViews>
    <workbookView xWindow="3885" yWindow="3660" windowWidth="18075" windowHeight="16020" activeTab="1" xr2:uid="{50AE877F-FF9D-4422-86CA-F1E783392A1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  <c r="AB2" i="2"/>
  <c r="AA2" i="2"/>
  <c r="Z2" i="2"/>
  <c r="Y2" i="2"/>
  <c r="X2" i="2"/>
  <c r="W2" i="2"/>
  <c r="V2" i="2"/>
  <c r="Z20" i="2"/>
  <c r="AC19" i="2"/>
  <c r="AC20" i="2" s="1"/>
  <c r="AB19" i="2"/>
  <c r="AB20" i="2" s="1"/>
  <c r="AA19" i="2"/>
  <c r="AA20" i="2" s="1"/>
  <c r="Z19" i="2"/>
  <c r="Y19" i="2"/>
  <c r="Y20" i="2" s="1"/>
  <c r="X19" i="2"/>
  <c r="X20" i="2" s="1"/>
  <c r="W19" i="2"/>
  <c r="W20" i="2" s="1"/>
  <c r="V19" i="2"/>
  <c r="V20" i="2" s="1"/>
  <c r="AC17" i="2"/>
  <c r="X17" i="2"/>
  <c r="AC16" i="2"/>
  <c r="AB16" i="2"/>
  <c r="AB17" i="2" s="1"/>
  <c r="AA16" i="2"/>
  <c r="AA17" i="2" s="1"/>
  <c r="Z16" i="2"/>
  <c r="Z17" i="2" s="1"/>
  <c r="Y16" i="2"/>
  <c r="Y17" i="2" s="1"/>
  <c r="X16" i="2"/>
  <c r="W16" i="2"/>
  <c r="W17" i="2" s="1"/>
  <c r="V16" i="2"/>
  <c r="V17" i="2" s="1"/>
  <c r="V15" i="2"/>
  <c r="W15" i="2" s="1"/>
  <c r="X15" i="2" s="1"/>
  <c r="Y15" i="2" s="1"/>
  <c r="Z15" i="2" s="1"/>
  <c r="AA15" i="2" s="1"/>
  <c r="AB15" i="2" s="1"/>
  <c r="AC15" i="2" s="1"/>
  <c r="V14" i="2"/>
  <c r="W14" i="2" s="1"/>
  <c r="X14" i="2" s="1"/>
  <c r="Y14" i="2" s="1"/>
  <c r="Z14" i="2" s="1"/>
  <c r="AA14" i="2" s="1"/>
  <c r="AB14" i="2" s="1"/>
  <c r="AC14" i="2" s="1"/>
  <c r="W13" i="2"/>
  <c r="X13" i="2" s="1"/>
  <c r="Y13" i="2" s="1"/>
  <c r="Z13" i="2" s="1"/>
  <c r="AA13" i="2" s="1"/>
  <c r="AB13" i="2" s="1"/>
  <c r="AC13" i="2" s="1"/>
  <c r="V13" i="2"/>
  <c r="AC12" i="2"/>
  <c r="AB12" i="2"/>
  <c r="AA12" i="2"/>
  <c r="Z12" i="2"/>
  <c r="Y12" i="2"/>
  <c r="X12" i="2"/>
  <c r="W12" i="2"/>
  <c r="V12" i="2"/>
  <c r="AC10" i="2"/>
  <c r="AB10" i="2"/>
  <c r="AA10" i="2"/>
  <c r="Z10" i="2"/>
  <c r="Y10" i="2"/>
  <c r="X10" i="2"/>
  <c r="W10" i="2"/>
  <c r="V10" i="2"/>
  <c r="U25" i="2"/>
  <c r="T25" i="2"/>
  <c r="S25" i="2"/>
  <c r="S19" i="2"/>
  <c r="T19" i="2"/>
  <c r="U19" i="2"/>
  <c r="U24" i="2"/>
  <c r="T24" i="2"/>
  <c r="U16" i="2"/>
  <c r="T16" i="2"/>
  <c r="S16" i="2"/>
  <c r="U12" i="2"/>
  <c r="U17" i="2" s="1"/>
  <c r="U20" i="2" s="1"/>
  <c r="T12" i="2"/>
  <c r="S12" i="2"/>
  <c r="S17" i="2" s="1"/>
  <c r="S20" i="2" s="1"/>
  <c r="T2" i="2"/>
  <c r="U2" i="2" s="1"/>
  <c r="H3" i="1"/>
  <c r="H4" i="1"/>
  <c r="H7" i="1" s="1"/>
  <c r="L3" i="2"/>
  <c r="T17" i="2" l="1"/>
  <c r="T20" i="2" s="1"/>
</calcChain>
</file>

<file path=xl/sharedStrings.xml><?xml version="1.0" encoding="utf-8"?>
<sst xmlns="http://schemas.openxmlformats.org/spreadsheetml/2006/main" count="44" uniqueCount="41">
  <si>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</si>
  <si>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</si>
  <si>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</si>
  <si>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</si>
  <si>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</si>
  <si>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</si>
  <si>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</si>
  <si>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</si>
  <si>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</si>
  <si>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</si>
  <si>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</si>
  <si>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</si>
  <si>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</si>
  <si>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</si>
  <si>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</si>
  <si>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</si>
  <si>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</si>
  <si>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</si>
  <si>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</si>
  <si>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</si>
  <si>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EBITDA</t>
  </si>
  <si>
    <t>Deliveries</t>
  </si>
  <si>
    <t>Executive</t>
  </si>
  <si>
    <t>Commercial</t>
  </si>
  <si>
    <t>Defense</t>
  </si>
  <si>
    <t>Backlog</t>
  </si>
  <si>
    <t>C-390 Millennium Multi-Mission Aircraft transport</t>
  </si>
  <si>
    <t>A-29 Super Tucano</t>
  </si>
  <si>
    <t>COGS</t>
  </si>
  <si>
    <t>Gross Profit</t>
  </si>
  <si>
    <t>Revenue y/y</t>
  </si>
  <si>
    <t>Admin</t>
  </si>
  <si>
    <t>S&amp;M</t>
  </si>
  <si>
    <t>R&amp;D</t>
  </si>
  <si>
    <t>Operating Expenses</t>
  </si>
  <si>
    <t>Operating Income</t>
  </si>
  <si>
    <t>Interest Expense</t>
  </si>
  <si>
    <t>Pretax Income</t>
  </si>
  <si>
    <t>Taxes</t>
  </si>
  <si>
    <t>Net Income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</si>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</sst>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D8EE4A2-2397-4AE9-8BE1-B0B2968F9B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</xdr:colOff>
      <xdr:row>0</xdr:row>
      <xdr:rowOff>59531</xdr:rowOff>
    </xdr:from>
    <xdr:to>
      <xdr:col>12</xdr:col>
      <xdr:colOff>35718</xdr:colOff>
      <xdr:row>37</xdr:row>
      <xdr:rowOff>59531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0A014A-58CB-0929-260C-EC7D88DAEBA6}"/>
            </a:ext>
          </a:extLst>
        </xdr:cNvPr>
        <xdr:cNvCxnSpPr/>
      </xdr:nvCxnSpPr>
      <xdr:spPr>
        <a:xfrm>
          <a:off x="7167562" y="59531"/>
          <a:ext cx="0" cy="41790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6D42-D739-479E-8487-3F528DA60675}">
  <dimension ref="B2:I7"/>
  <sheetViews>
    <sheetView zoomScaleNormal="100" workbookViewId="0">
      <selection activeCell="H4" sqref="H4"/>
    </sheetView>
  </sheetViews>
  <sheetFormatPr defaultRowHeight="12.75" x14ac:dyDescent="0.2"/>
  <sheetData>
    <row r="2" spans="2:9" x14ac:dyDescent="0.2">
      <c r="B2" t="s">
        <v>26</v>
      </c>
      <c r="G2" t="s">
        <v>0</v>
      </c>
      <c r="H2" s="1">
        <v>35</v>
      </c>
    </row>
    <row r="3" spans="2:9" x14ac:dyDescent="0.2">
      <c r="B3" t="s">
        <v>27</v>
      </c>
      <c r="G3" t="s">
        <v>1</v>
      </c>
      <c r="H3" s="4">
        <f>740.465/4</f>
        <v>185.11625000000001</v>
      </c>
      <c r="I3" s="3" t="s">
        <v>17</v>
      </c>
    </row>
    <row r="4" spans="2:9" x14ac:dyDescent="0.2">
      <c r="G4" t="s">
        <v>2</v>
      </c>
      <c r="H4" s="4">
        <f>+H2*H3</f>
        <v>6479.0687500000004</v>
      </c>
    </row>
    <row r="5" spans="2:9" x14ac:dyDescent="0.2">
      <c r="G5" t="s">
        <v>3</v>
      </c>
      <c r="H5" s="4">
        <v>0</v>
      </c>
      <c r="I5" s="3" t="s">
        <v>17</v>
      </c>
    </row>
    <row r="6" spans="2:9" x14ac:dyDescent="0.2">
      <c r="G6" t="s">
        <v>4</v>
      </c>
      <c r="H6" s="4">
        <v>1307.2</v>
      </c>
      <c r="I6" s="3" t="s">
        <v>17</v>
      </c>
    </row>
    <row r="7" spans="2:9" x14ac:dyDescent="0.2">
      <c r="G7" t="s">
        <v>5</v>
      </c>
      <c r="H7" s="4">
        <f>+H4-H5+H6</f>
        <v>7786.2687500000002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EB8-31C8-4443-AF99-240E89268B88}">
  <dimension ref="A1:AC25"/>
  <sheetViews>
    <sheetView tabSelected="1" zoomScaleNormal="10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U25" sqref="U25"/>
    </sheetView>
  </sheetViews>
  <sheetFormatPr defaultRowHeight="12.75" x14ac:dyDescent="0.2"/>
  <cols>
    <col min="1" max="1" width="5" bestFit="1" customWidth="1"/>
    <col min="2" max="2" width="12.28515625" customWidth="1"/>
    <col min="3" max="14" width="9.140625" style="3"/>
  </cols>
  <sheetData>
    <row r="1" spans="1:29" x14ac:dyDescent="0.2">
      <c r="A1" s="2" t="s">
        <v>6</v>
      </c>
    </row>
    <row r="2" spans="1:29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S2">
        <v>2021</v>
      </c>
      <c r="T2">
        <f t="shared" ref="T2:AC2" si="0">+S2+1</f>
        <v>2022</v>
      </c>
      <c r="U2">
        <f t="shared" si="0"/>
        <v>2023</v>
      </c>
      <c r="V2">
        <f t="shared" si="0"/>
        <v>2024</v>
      </c>
      <c r="W2">
        <f t="shared" si="0"/>
        <v>2025</v>
      </c>
      <c r="X2">
        <f t="shared" si="0"/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  <c r="AC2">
        <f t="shared" si="0"/>
        <v>2031</v>
      </c>
    </row>
    <row r="3" spans="1:29" x14ac:dyDescent="0.2">
      <c r="B3" t="s">
        <v>21</v>
      </c>
      <c r="L3" s="3">
        <f>+L4+L5+L6</f>
        <v>47</v>
      </c>
    </row>
    <row r="4" spans="1:29" x14ac:dyDescent="0.2">
      <c r="B4" t="s">
        <v>22</v>
      </c>
      <c r="L4" s="3">
        <v>27</v>
      </c>
    </row>
    <row r="5" spans="1:29" x14ac:dyDescent="0.2">
      <c r="B5" t="s">
        <v>23</v>
      </c>
      <c r="L5" s="3">
        <v>19</v>
      </c>
    </row>
    <row r="6" spans="1:29" x14ac:dyDescent="0.2">
      <c r="B6" t="s">
        <v>24</v>
      </c>
      <c r="L6" s="3">
        <v>1</v>
      </c>
    </row>
    <row r="8" spans="1:29" x14ac:dyDescent="0.2">
      <c r="B8" t="s">
        <v>25</v>
      </c>
      <c r="L8" s="5">
        <v>21100</v>
      </c>
    </row>
    <row r="10" spans="1:29" s="6" customFormat="1" x14ac:dyDescent="0.2">
      <c r="B10" s="6" t="s">
        <v>7</v>
      </c>
      <c r="C10" s="7"/>
      <c r="D10" s="7"/>
      <c r="E10" s="7"/>
      <c r="F10" s="7"/>
      <c r="G10" s="7"/>
      <c r="H10" s="7">
        <v>1292.3</v>
      </c>
      <c r="I10" s="7"/>
      <c r="J10" s="7"/>
      <c r="K10" s="7">
        <v>896.6</v>
      </c>
      <c r="L10" s="7">
        <v>1494.2</v>
      </c>
      <c r="M10" s="7"/>
      <c r="N10" s="7"/>
      <c r="S10" s="6">
        <v>4197.2</v>
      </c>
      <c r="T10" s="6">
        <v>4540.3999999999996</v>
      </c>
      <c r="U10" s="6">
        <v>5268.5</v>
      </c>
      <c r="V10" s="6">
        <f t="shared" ref="V10:AC10" si="1">+U10*1.1</f>
        <v>5795.35</v>
      </c>
      <c r="W10" s="6">
        <f t="shared" si="1"/>
        <v>6374.8850000000011</v>
      </c>
      <c r="X10" s="6">
        <f t="shared" si="1"/>
        <v>7012.3735000000015</v>
      </c>
      <c r="Y10" s="6">
        <f t="shared" si="1"/>
        <v>7713.6108500000018</v>
      </c>
      <c r="Z10" s="6">
        <f t="shared" si="1"/>
        <v>8484.9719350000032</v>
      </c>
      <c r="AA10" s="6">
        <f t="shared" si="1"/>
        <v>9333.4691285000044</v>
      </c>
      <c r="AB10" s="6">
        <f t="shared" si="1"/>
        <v>10266.816041350006</v>
      </c>
      <c r="AC10" s="6">
        <f t="shared" si="1"/>
        <v>11293.497645485008</v>
      </c>
    </row>
    <row r="11" spans="1:29" s="4" customFormat="1" x14ac:dyDescent="0.2">
      <c r="B11" s="4" t="s">
        <v>28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S11" s="4">
        <v>3537.6</v>
      </c>
      <c r="T11" s="4">
        <v>3628.2</v>
      </c>
      <c r="U11" s="4">
        <v>4358.8999999999996</v>
      </c>
    </row>
    <row r="12" spans="1:29" s="4" customFormat="1" x14ac:dyDescent="0.2">
      <c r="B12" s="4" t="s">
        <v>29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S12" s="4">
        <f>+S10-S11</f>
        <v>659.59999999999991</v>
      </c>
      <c r="T12" s="4">
        <f>+T10-T11</f>
        <v>912.19999999999982</v>
      </c>
      <c r="U12" s="4">
        <f>+U10-U11</f>
        <v>909.60000000000036</v>
      </c>
      <c r="V12" s="4">
        <f>+V10*0.18</f>
        <v>1043.163</v>
      </c>
      <c r="W12" s="4">
        <f>+W10*0.19</f>
        <v>1211.2281500000001</v>
      </c>
      <c r="X12" s="4">
        <f>+X10*0.2</f>
        <v>1402.4747000000004</v>
      </c>
      <c r="Y12" s="4">
        <f>+Y10*0.205</f>
        <v>1581.2902242500004</v>
      </c>
      <c r="Z12" s="4">
        <f>+Z10*0.205</f>
        <v>1739.4192466750005</v>
      </c>
      <c r="AA12" s="4">
        <f>+AA10*0.21</f>
        <v>1960.0285169850008</v>
      </c>
      <c r="AB12" s="4">
        <f>+AB10*0.21</f>
        <v>2156.0313686835011</v>
      </c>
      <c r="AC12" s="4">
        <f>+AC10*0.215</f>
        <v>2428.1019937792767</v>
      </c>
    </row>
    <row r="13" spans="1:29" s="4" customFormat="1" x14ac:dyDescent="0.2">
      <c r="B13" s="4" t="s">
        <v>31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S13" s="4">
        <v>153.19999999999999</v>
      </c>
      <c r="T13" s="4">
        <v>184.9</v>
      </c>
      <c r="U13" s="4">
        <v>204.9</v>
      </c>
      <c r="V13" s="4">
        <f>+U13*1.05</f>
        <v>215.14500000000001</v>
      </c>
      <c r="W13" s="4">
        <f t="shared" ref="W13:AC13" si="2">+V13*1.05</f>
        <v>225.90225000000001</v>
      </c>
      <c r="X13" s="4">
        <f t="shared" si="2"/>
        <v>237.19736250000003</v>
      </c>
      <c r="Y13" s="4">
        <f t="shared" si="2"/>
        <v>249.05723062500005</v>
      </c>
      <c r="Z13" s="4">
        <f t="shared" si="2"/>
        <v>261.51009215625004</v>
      </c>
      <c r="AA13" s="4">
        <f t="shared" si="2"/>
        <v>274.58559676406253</v>
      </c>
      <c r="AB13" s="4">
        <f t="shared" si="2"/>
        <v>288.31487660226566</v>
      </c>
      <c r="AC13" s="4">
        <f t="shared" si="2"/>
        <v>302.73062043237894</v>
      </c>
    </row>
    <row r="14" spans="1:29" s="4" customFormat="1" x14ac:dyDescent="0.2">
      <c r="B14" s="4" t="s">
        <v>32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S14" s="4">
        <v>226.4</v>
      </c>
      <c r="T14" s="4">
        <v>274.39999999999998</v>
      </c>
      <c r="U14" s="4">
        <v>314.7</v>
      </c>
      <c r="V14" s="4">
        <f t="shared" ref="V14:AC14" si="3">+U14*1.05</f>
        <v>330.435</v>
      </c>
      <c r="W14" s="4">
        <f t="shared" si="3"/>
        <v>346.95675</v>
      </c>
      <c r="X14" s="4">
        <f t="shared" si="3"/>
        <v>364.30458750000003</v>
      </c>
      <c r="Y14" s="4">
        <f t="shared" si="3"/>
        <v>382.51981687500006</v>
      </c>
      <c r="Z14" s="4">
        <f t="shared" si="3"/>
        <v>401.64580771875006</v>
      </c>
      <c r="AA14" s="4">
        <f t="shared" si="3"/>
        <v>421.7280981046876</v>
      </c>
      <c r="AB14" s="4">
        <f t="shared" si="3"/>
        <v>442.81450300992202</v>
      </c>
      <c r="AC14" s="4">
        <f t="shared" si="3"/>
        <v>464.95522816041813</v>
      </c>
    </row>
    <row r="15" spans="1:29" s="4" customFormat="1" x14ac:dyDescent="0.2">
      <c r="B15" s="4" t="s">
        <v>33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S15" s="4">
        <v>43</v>
      </c>
      <c r="T15" s="4">
        <v>110</v>
      </c>
      <c r="U15" s="4">
        <v>90.3</v>
      </c>
      <c r="V15" s="4">
        <f t="shared" ref="V15:AC15" si="4">+U15*1.05</f>
        <v>94.814999999999998</v>
      </c>
      <c r="W15" s="4">
        <f t="shared" si="4"/>
        <v>99.555750000000003</v>
      </c>
      <c r="X15" s="4">
        <f t="shared" si="4"/>
        <v>104.53353750000001</v>
      </c>
      <c r="Y15" s="4">
        <f t="shared" si="4"/>
        <v>109.76021437500002</v>
      </c>
      <c r="Z15" s="4">
        <f t="shared" si="4"/>
        <v>115.24822509375002</v>
      </c>
      <c r="AA15" s="4">
        <f t="shared" si="4"/>
        <v>121.01063634843753</v>
      </c>
      <c r="AB15" s="4">
        <f t="shared" si="4"/>
        <v>127.06116816585941</v>
      </c>
      <c r="AC15" s="4">
        <f t="shared" si="4"/>
        <v>133.41422657415239</v>
      </c>
    </row>
    <row r="16" spans="1:29" s="4" customFormat="1" x14ac:dyDescent="0.2">
      <c r="B16" s="4" t="s">
        <v>34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S16" s="4">
        <f>SUM(S13:S15)</f>
        <v>422.6</v>
      </c>
      <c r="T16" s="4">
        <f>SUM(T13:T15)</f>
        <v>569.29999999999995</v>
      </c>
      <c r="U16" s="4">
        <f>SUM(U13:U15)</f>
        <v>609.9</v>
      </c>
      <c r="V16" s="4">
        <f t="shared" ref="V16:AC16" si="5">SUM(V13:V15)</f>
        <v>640.39499999999998</v>
      </c>
      <c r="W16" s="4">
        <f t="shared" si="5"/>
        <v>672.41475000000003</v>
      </c>
      <c r="X16" s="4">
        <f t="shared" si="5"/>
        <v>706.03548750000004</v>
      </c>
      <c r="Y16" s="4">
        <f t="shared" si="5"/>
        <v>741.33726187500019</v>
      </c>
      <c r="Z16" s="4">
        <f t="shared" si="5"/>
        <v>778.40412496875024</v>
      </c>
      <c r="AA16" s="4">
        <f t="shared" si="5"/>
        <v>817.32433121718771</v>
      </c>
      <c r="AB16" s="4">
        <f t="shared" si="5"/>
        <v>858.19054777804706</v>
      </c>
      <c r="AC16" s="4">
        <f t="shared" si="5"/>
        <v>901.10007516694952</v>
      </c>
    </row>
    <row r="17" spans="2:29" s="4" customFormat="1" x14ac:dyDescent="0.2">
      <c r="B17" s="4" t="s">
        <v>35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>
        <f>+S12-S16</f>
        <v>236.99999999999989</v>
      </c>
      <c r="T17" s="4">
        <f>+T12-T16</f>
        <v>342.89999999999986</v>
      </c>
      <c r="U17" s="4">
        <f>+U12-U16</f>
        <v>299.70000000000039</v>
      </c>
      <c r="V17" s="4">
        <f t="shared" ref="V17:AC17" si="6">+V12-V16</f>
        <v>402.76800000000003</v>
      </c>
      <c r="W17" s="4">
        <f t="shared" si="6"/>
        <v>538.81340000000012</v>
      </c>
      <c r="X17" s="4">
        <f t="shared" si="6"/>
        <v>696.43921250000039</v>
      </c>
      <c r="Y17" s="4">
        <f t="shared" si="6"/>
        <v>839.9529623750002</v>
      </c>
      <c r="Z17" s="4">
        <f t="shared" si="6"/>
        <v>961.01512170625028</v>
      </c>
      <c r="AA17" s="4">
        <f t="shared" si="6"/>
        <v>1142.7041857678132</v>
      </c>
      <c r="AB17" s="4">
        <f t="shared" si="6"/>
        <v>1297.8408209054542</v>
      </c>
      <c r="AC17" s="4">
        <f t="shared" si="6"/>
        <v>1527.0019186123272</v>
      </c>
    </row>
    <row r="18" spans="2:29" s="4" customFormat="1" x14ac:dyDescent="0.2">
      <c r="B18" s="4" t="s">
        <v>20</v>
      </c>
      <c r="C18" s="5"/>
      <c r="D18" s="5"/>
      <c r="E18" s="5"/>
      <c r="F18" s="5"/>
      <c r="G18" s="5"/>
      <c r="H18" s="5">
        <v>148.9</v>
      </c>
      <c r="I18" s="5"/>
      <c r="J18" s="5"/>
      <c r="K18" s="5">
        <v>47.1</v>
      </c>
      <c r="L18" s="5">
        <v>190.4</v>
      </c>
      <c r="M18" s="5"/>
      <c r="N18" s="5"/>
    </row>
    <row r="19" spans="2:29" s="4" customFormat="1" x14ac:dyDescent="0.2">
      <c r="B19" s="4" t="s">
        <v>36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S19" s="4">
        <f>74.8-274.2</f>
        <v>-199.39999999999998</v>
      </c>
      <c r="T19" s="4">
        <f>121.9-245.4</f>
        <v>-123.5</v>
      </c>
      <c r="U19" s="4">
        <f>128.6-321.9</f>
        <v>-193.29999999999998</v>
      </c>
      <c r="V19" s="4">
        <f t="shared" ref="V19:AC19" si="7">128.6-321.9</f>
        <v>-193.29999999999998</v>
      </c>
      <c r="W19" s="4">
        <f t="shared" si="7"/>
        <v>-193.29999999999998</v>
      </c>
      <c r="X19" s="4">
        <f t="shared" si="7"/>
        <v>-193.29999999999998</v>
      </c>
      <c r="Y19" s="4">
        <f t="shared" si="7"/>
        <v>-193.29999999999998</v>
      </c>
      <c r="Z19" s="4">
        <f t="shared" si="7"/>
        <v>-193.29999999999998</v>
      </c>
      <c r="AA19" s="4">
        <f t="shared" si="7"/>
        <v>-193.29999999999998</v>
      </c>
      <c r="AB19" s="4">
        <f t="shared" si="7"/>
        <v>-193.29999999999998</v>
      </c>
      <c r="AC19" s="4">
        <f t="shared" si="7"/>
        <v>-193.29999999999998</v>
      </c>
    </row>
    <row r="20" spans="2:29" x14ac:dyDescent="0.2">
      <c r="B20" s="4" t="s">
        <v>37</v>
      </c>
      <c r="S20" s="4">
        <f>+S17+S19</f>
        <v>37.599999999999909</v>
      </c>
      <c r="T20" s="4">
        <f>+T17+T19</f>
        <v>219.39999999999986</v>
      </c>
      <c r="U20" s="4">
        <f>+U17+U19</f>
        <v>106.4000000000004</v>
      </c>
      <c r="V20" s="4">
        <f t="shared" ref="V20:AC20" si="8">+V17+V19</f>
        <v>209.46800000000005</v>
      </c>
      <c r="W20" s="4">
        <f t="shared" si="8"/>
        <v>345.51340000000016</v>
      </c>
      <c r="X20" s="4">
        <f t="shared" si="8"/>
        <v>503.13921250000044</v>
      </c>
      <c r="Y20" s="4">
        <f t="shared" si="8"/>
        <v>646.65296237500024</v>
      </c>
      <c r="Z20" s="4">
        <f t="shared" si="8"/>
        <v>767.71512170625033</v>
      </c>
      <c r="AA20" s="4">
        <f t="shared" si="8"/>
        <v>949.40418576781326</v>
      </c>
      <c r="AB20" s="4">
        <f t="shared" si="8"/>
        <v>1104.5408209054542</v>
      </c>
      <c r="AC20" s="4">
        <f t="shared" si="8"/>
        <v>1333.7019186123273</v>
      </c>
    </row>
    <row r="21" spans="2:29" x14ac:dyDescent="0.2">
      <c r="B21" s="4" t="s">
        <v>38</v>
      </c>
    </row>
    <row r="22" spans="2:29" x14ac:dyDescent="0.2">
      <c r="B22" s="4" t="s">
        <v>39</v>
      </c>
    </row>
    <row r="23" spans="2:29" x14ac:dyDescent="0.2">
      <c r="B23" s="4"/>
    </row>
    <row r="24" spans="2:29" x14ac:dyDescent="0.2">
      <c r="B24" t="s">
        <v>30</v>
      </c>
      <c r="T24" s="8">
        <f>+T10/S10-1</f>
        <v>8.1768798246449892E-2</v>
      </c>
      <c r="U24" s="8">
        <f>+U10/T10-1</f>
        <v>0.16036032067659245</v>
      </c>
    </row>
    <row r="25" spans="2:29" x14ac:dyDescent="0.2">
      <c r="B25" s="4" t="s">
        <v>40</v>
      </c>
      <c r="S25" s="8">
        <f>+S12/S10</f>
        <v>0.15715238730582293</v>
      </c>
      <c r="T25" s="8">
        <f>+T12/T10</f>
        <v>0.20090740903885118</v>
      </c>
      <c r="U25" s="8">
        <f>+U12/U10</f>
        <v>0.1726487615070704</v>
      </c>
    </row>
  </sheetData>
  <hyperlinks>
    <hyperlink ref="A1" location="Main!A1" display="Main" xr:uid="{D54F55B2-2302-454C-B6F6-B0985ED9F82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2024-10-24T16:55:27Z</dcterms:created>
  <dcterms:modified xsi:type="dcterms:W3CDTF">2025-10-09T13:00:48Z</dcterms:modified>
</cp:coreProperties>
</file>